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ена\2024 год\ПРОГНОЗ СОЦИАЛЬНО ЭКОНОМИЧЕСКОГО РАЗВИТИЯ\ПРОГНОЗ\"/>
    </mc:Choice>
  </mc:AlternateContent>
  <xr:revisionPtr revIDLastSave="0" documentId="13_ncr:1_{D539A9E2-D16C-431B-96A0-147484307CF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ПРОГНОЗ" sheetId="1" r:id="rId1"/>
    <sheet name="Дефлятор базовый" sheetId="5" r:id="rId2"/>
    <sheet name="Ввод новых ОФ" sheetId="6" r:id="rId3"/>
    <sheet name="Сроки ввода" sheetId="3" r:id="rId4"/>
  </sheets>
  <definedNames>
    <definedName name="_xlnm.Print_Titles" localSheetId="0">ПРОГНОЗ!$3:$5</definedName>
    <definedName name="_xlnm.Print_Area" localSheetId="0">ПРОГНОЗ!$A$1:$K$202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97" i="1" l="1"/>
  <c r="J197" i="1"/>
  <c r="I197" i="1"/>
  <c r="H197" i="1"/>
  <c r="G197" i="1"/>
  <c r="F197" i="1"/>
  <c r="E197" i="1"/>
  <c r="K198" i="1" l="1"/>
  <c r="J198" i="1"/>
  <c r="I198" i="1"/>
  <c r="H198" i="1"/>
  <c r="G198" i="1"/>
  <c r="F198" i="1"/>
  <c r="E198" i="1"/>
  <c r="D198" i="1"/>
  <c r="J163" i="1" l="1"/>
  <c r="H163" i="1"/>
  <c r="F163" i="1" l="1"/>
  <c r="V3" i="3" l="1"/>
  <c r="U3" i="3"/>
  <c r="T3" i="3"/>
  <c r="S3" i="3"/>
  <c r="R3" i="3"/>
  <c r="Q3" i="3"/>
  <c r="V25" i="6" l="1"/>
  <c r="U25" i="6"/>
  <c r="T25" i="6"/>
  <c r="V15" i="3"/>
  <c r="U15" i="3"/>
  <c r="T15" i="3"/>
  <c r="S15" i="3"/>
  <c r="R15" i="3"/>
  <c r="Q15" i="3"/>
  <c r="K134" i="1" l="1"/>
  <c r="D7" i="1"/>
  <c r="E7" i="1" s="1"/>
  <c r="G7" i="1" l="1"/>
  <c r="I7" i="1" s="1"/>
  <c r="K7" i="1" s="1"/>
  <c r="F7" i="1"/>
  <c r="H7" i="1" s="1"/>
  <c r="J7" i="1" s="1"/>
  <c r="I105" i="1" l="1"/>
  <c r="K105" i="1" s="1"/>
  <c r="J105" i="1" s="1"/>
  <c r="G102" i="1"/>
  <c r="F102" i="1" s="1"/>
  <c r="J110" i="1"/>
  <c r="G112" i="1"/>
  <c r="I112" i="1" s="1"/>
  <c r="F113" i="1"/>
  <c r="I113" i="1"/>
  <c r="I114" i="1"/>
  <c r="I102" i="1" l="1"/>
  <c r="H102" i="1" s="1"/>
  <c r="F112" i="1"/>
  <c r="K112" i="1"/>
  <c r="H112" i="1"/>
  <c r="H113" i="1"/>
  <c r="H105" i="1"/>
  <c r="K113" i="1"/>
  <c r="J113" i="1" s="1"/>
  <c r="K114" i="1"/>
  <c r="J114" i="1" s="1"/>
  <c r="H114" i="1"/>
  <c r="K102" i="1" l="1"/>
  <c r="J102" i="1" s="1"/>
  <c r="J112" i="1"/>
  <c r="K100" i="1" l="1"/>
  <c r="I100" i="1"/>
  <c r="G100" i="1"/>
  <c r="E100" i="1"/>
  <c r="D100" i="1"/>
  <c r="K107" i="1"/>
  <c r="I107" i="1"/>
  <c r="G107" i="1"/>
  <c r="E107" i="1"/>
  <c r="D107" i="1"/>
  <c r="K104" i="1"/>
  <c r="I104" i="1"/>
  <c r="G104" i="1"/>
  <c r="E104" i="1"/>
  <c r="D104" i="1"/>
  <c r="K98" i="1"/>
  <c r="J98" i="1"/>
  <c r="I98" i="1"/>
  <c r="H98" i="1"/>
  <c r="G98" i="1"/>
  <c r="F98" i="1"/>
  <c r="E98" i="1"/>
  <c r="D98" i="1"/>
  <c r="C98" i="1"/>
  <c r="V55" i="3" l="1"/>
  <c r="K166" i="1" s="1"/>
  <c r="J166" i="1" s="1"/>
  <c r="K165" i="1"/>
  <c r="I165" i="1"/>
  <c r="G165" i="1"/>
  <c r="E165" i="1"/>
  <c r="D165" i="1"/>
  <c r="D172" i="1" l="1"/>
  <c r="K161" i="1"/>
  <c r="I161" i="1"/>
  <c r="G161" i="1"/>
  <c r="E161" i="1"/>
  <c r="D161" i="1"/>
  <c r="K156" i="1"/>
  <c r="I156" i="1"/>
  <c r="G156" i="1"/>
  <c r="E156" i="1"/>
  <c r="D156" i="1"/>
  <c r="K153" i="1"/>
  <c r="I153" i="1"/>
  <c r="G153" i="1"/>
  <c r="E153" i="1"/>
  <c r="D153" i="1"/>
  <c r="D170" i="1" l="1"/>
  <c r="E170" i="1" l="1"/>
  <c r="E172" i="1"/>
  <c r="G170" i="1" l="1"/>
  <c r="F172" i="1"/>
  <c r="F170" i="1"/>
  <c r="D8" i="1"/>
  <c r="D11" i="1"/>
  <c r="D12" i="1" s="1"/>
  <c r="D9" i="1"/>
  <c r="D10" i="1" s="1"/>
  <c r="J34" i="1"/>
  <c r="K30" i="1"/>
  <c r="I30" i="1"/>
  <c r="G30" i="1"/>
  <c r="E30" i="1"/>
  <c r="D30" i="1"/>
  <c r="H170" i="1" l="1"/>
  <c r="H172" i="1"/>
  <c r="G172" i="1"/>
  <c r="I172" i="1"/>
  <c r="I170" i="1"/>
  <c r="G8" i="1"/>
  <c r="G11" i="1"/>
  <c r="G9" i="1"/>
  <c r="E9" i="1"/>
  <c r="E11" i="1"/>
  <c r="E12" i="1" s="1"/>
  <c r="E8" i="1"/>
  <c r="K96" i="1"/>
  <c r="I96" i="1"/>
  <c r="G96" i="1"/>
  <c r="E96" i="1"/>
  <c r="D96" i="1"/>
  <c r="K93" i="1"/>
  <c r="I93" i="1"/>
  <c r="G93" i="1"/>
  <c r="E93" i="1"/>
  <c r="D93" i="1"/>
  <c r="K170" i="1" l="1"/>
  <c r="J172" i="1"/>
  <c r="J170" i="1"/>
  <c r="I8" i="1"/>
  <c r="I9" i="1"/>
  <c r="I10" i="1" s="1"/>
  <c r="I11" i="1"/>
  <c r="E10" i="1"/>
  <c r="G10" i="1"/>
  <c r="F8" i="1"/>
  <c r="F11" i="1"/>
  <c r="F12" i="1" s="1"/>
  <c r="F9" i="1"/>
  <c r="G12" i="1"/>
  <c r="K172" i="1" l="1"/>
  <c r="H8" i="1"/>
  <c r="H11" i="1"/>
  <c r="H12" i="1" s="1"/>
  <c r="H9" i="1"/>
  <c r="F10" i="1"/>
  <c r="K8" i="1"/>
  <c r="K11" i="1"/>
  <c r="K12" i="1" s="1"/>
  <c r="K9" i="1"/>
  <c r="I12" i="1"/>
  <c r="H10" i="1" l="1"/>
  <c r="K10" i="1"/>
  <c r="J8" i="1"/>
  <c r="J11" i="1"/>
  <c r="J12" i="1" s="1"/>
  <c r="J9" i="1"/>
  <c r="J10" i="1" l="1"/>
  <c r="J132" i="1" l="1"/>
  <c r="H132" i="1"/>
  <c r="F132" i="1"/>
  <c r="J131" i="1"/>
  <c r="H131" i="1"/>
  <c r="F131" i="1"/>
  <c r="K48" i="1" l="1"/>
  <c r="I48" i="1"/>
  <c r="G48" i="1"/>
  <c r="E48" i="1"/>
  <c r="D48" i="1"/>
  <c r="K42" i="1"/>
  <c r="I42" i="1"/>
  <c r="G42" i="1"/>
  <c r="E42" i="1"/>
  <c r="D42" i="1"/>
  <c r="K36" i="1"/>
  <c r="I36" i="1"/>
  <c r="G36" i="1"/>
  <c r="E36" i="1"/>
  <c r="D36" i="1"/>
  <c r="K27" i="1"/>
  <c r="I27" i="1"/>
  <c r="G27" i="1"/>
  <c r="E27" i="1"/>
  <c r="D27" i="1"/>
  <c r="K21" i="1"/>
  <c r="I21" i="1"/>
  <c r="G21" i="1"/>
  <c r="E21" i="1"/>
  <c r="D21" i="1"/>
  <c r="C19" i="1" l="1"/>
  <c r="C18" i="1" s="1"/>
  <c r="E130" i="1" l="1"/>
  <c r="F135" i="1" l="1"/>
  <c r="H135" i="1" s="1"/>
  <c r="J135" i="1" s="1"/>
  <c r="G135" i="1"/>
  <c r="I135" i="1" l="1"/>
  <c r="G130" i="1"/>
  <c r="F130" i="1"/>
  <c r="H130" i="1" s="1"/>
  <c r="K135" i="1" l="1"/>
  <c r="I130" i="1"/>
  <c r="J130" i="1"/>
  <c r="K130" i="1" l="1"/>
  <c r="J121" i="1" l="1"/>
  <c r="H121" i="1"/>
  <c r="F121" i="1"/>
  <c r="J120" i="1"/>
  <c r="H120" i="1"/>
  <c r="F120" i="1"/>
  <c r="J119" i="1"/>
  <c r="H119" i="1"/>
  <c r="F119" i="1"/>
  <c r="D19" i="1" l="1"/>
  <c r="E19" i="1"/>
  <c r="D123" i="1"/>
  <c r="E123" i="1" s="1"/>
  <c r="G123" i="1" s="1"/>
  <c r="D122" i="1"/>
  <c r="E122" i="1" s="1"/>
  <c r="G122" i="1" s="1"/>
  <c r="D18" i="1" l="1"/>
  <c r="E18" i="1"/>
  <c r="F122" i="1"/>
  <c r="I122" i="1"/>
  <c r="F123" i="1"/>
  <c r="I123" i="1"/>
  <c r="K123" i="1" l="1"/>
  <c r="J123" i="1" s="1"/>
  <c r="H123" i="1"/>
  <c r="H122" i="1"/>
  <c r="K122" i="1"/>
  <c r="J122" i="1" s="1"/>
  <c r="V3" i="6" l="1"/>
  <c r="O50" i="3"/>
  <c r="N50" i="3"/>
  <c r="M50" i="3"/>
  <c r="L50" i="3"/>
  <c r="K50" i="3"/>
  <c r="J50" i="3"/>
  <c r="I50" i="3"/>
  <c r="H50" i="3"/>
  <c r="G50" i="3"/>
  <c r="P15" i="3"/>
  <c r="O15" i="3"/>
  <c r="N15" i="3"/>
  <c r="M15" i="3"/>
  <c r="L15" i="3"/>
  <c r="K15" i="3"/>
  <c r="J15" i="3"/>
  <c r="I15" i="3"/>
  <c r="H15" i="3"/>
  <c r="G15" i="3"/>
  <c r="F15" i="3"/>
  <c r="D15" i="3"/>
  <c r="P3" i="3"/>
  <c r="O3" i="3"/>
  <c r="O55" i="3" s="1"/>
  <c r="N3" i="3"/>
  <c r="M3" i="3"/>
  <c r="L3" i="3"/>
  <c r="K3" i="3"/>
  <c r="K55" i="3" s="1"/>
  <c r="J3" i="3"/>
  <c r="I3" i="3"/>
  <c r="H3" i="3"/>
  <c r="G3" i="3"/>
  <c r="G55" i="3" s="1"/>
  <c r="F3" i="3"/>
  <c r="F55" i="3" s="1"/>
  <c r="E3" i="3"/>
  <c r="E55" i="3" s="1"/>
  <c r="D3" i="3"/>
  <c r="D55" i="3" s="1"/>
  <c r="S60" i="6"/>
  <c r="S25" i="6" s="1"/>
  <c r="R60" i="6"/>
  <c r="R25" i="6" s="1"/>
  <c r="Q60" i="6"/>
  <c r="Q25" i="6" s="1"/>
  <c r="P60" i="6"/>
  <c r="P25" i="6" s="1"/>
  <c r="O60" i="6"/>
  <c r="N60" i="6"/>
  <c r="M60" i="6"/>
  <c r="L60" i="6"/>
  <c r="K60" i="6"/>
  <c r="J60" i="6"/>
  <c r="I60" i="6"/>
  <c r="H60" i="6"/>
  <c r="G60" i="6"/>
  <c r="O25" i="6"/>
  <c r="N25" i="6"/>
  <c r="M25" i="6"/>
  <c r="L25" i="6"/>
  <c r="K25" i="6"/>
  <c r="J25" i="6"/>
  <c r="I25" i="6"/>
  <c r="H25" i="6"/>
  <c r="G25" i="6"/>
  <c r="F25" i="6"/>
  <c r="D25" i="6"/>
  <c r="U3" i="6"/>
  <c r="T3" i="6"/>
  <c r="S3" i="6"/>
  <c r="R3" i="6"/>
  <c r="Q3" i="6"/>
  <c r="P3" i="6"/>
  <c r="O3" i="6"/>
  <c r="O65" i="6" s="1"/>
  <c r="N3" i="6"/>
  <c r="N65" i="6" s="1"/>
  <c r="M3" i="6"/>
  <c r="L3" i="6"/>
  <c r="K3" i="6"/>
  <c r="J3" i="6"/>
  <c r="J65" i="6" s="1"/>
  <c r="I3" i="6"/>
  <c r="H3" i="6"/>
  <c r="G3" i="6"/>
  <c r="F3" i="6"/>
  <c r="F65" i="6" s="1"/>
  <c r="E3" i="6"/>
  <c r="E65" i="6" s="1"/>
  <c r="D3" i="6"/>
  <c r="D65" i="6" s="1"/>
  <c r="J55" i="3" l="1"/>
  <c r="H55" i="3"/>
  <c r="I55" i="3"/>
  <c r="M55" i="3"/>
  <c r="L55" i="3"/>
  <c r="N55" i="3"/>
  <c r="G65" i="6"/>
  <c r="K65" i="6"/>
  <c r="V65" i="6"/>
  <c r="K167" i="1" s="1"/>
  <c r="J167" i="1" s="1"/>
  <c r="U55" i="3"/>
  <c r="I166" i="1" s="1"/>
  <c r="H166" i="1" s="1"/>
  <c r="U65" i="6"/>
  <c r="I167" i="1" s="1"/>
  <c r="H167" i="1" s="1"/>
  <c r="R55" i="3"/>
  <c r="D166" i="1" s="1"/>
  <c r="H65" i="6"/>
  <c r="L65" i="6"/>
  <c r="P65" i="6"/>
  <c r="I65" i="6"/>
  <c r="M65" i="6"/>
  <c r="T65" i="6"/>
  <c r="G167" i="1" s="1"/>
  <c r="F167" i="1" s="1"/>
  <c r="Q55" i="3"/>
  <c r="C166" i="1" s="1"/>
  <c r="S55" i="3"/>
  <c r="E166" i="1" s="1"/>
  <c r="S65" i="6"/>
  <c r="E167" i="1" s="1"/>
  <c r="P55" i="3"/>
  <c r="T55" i="3"/>
  <c r="G166" i="1" s="1"/>
  <c r="F166" i="1" s="1"/>
  <c r="Q65" i="6"/>
  <c r="C167" i="1" s="1"/>
  <c r="R65" i="6"/>
  <c r="D167" i="1" s="1"/>
  <c r="C201" i="1" l="1"/>
  <c r="C189" i="1" l="1"/>
  <c r="K188" i="1"/>
  <c r="J188" i="1"/>
  <c r="I188" i="1"/>
  <c r="H188" i="1"/>
  <c r="G188" i="1"/>
  <c r="F188" i="1"/>
  <c r="E188" i="1"/>
  <c r="D188" i="1"/>
  <c r="C188" i="1"/>
  <c r="K196" i="1" l="1"/>
  <c r="K193" i="1" s="1"/>
  <c r="J196" i="1"/>
  <c r="J193" i="1" s="1"/>
  <c r="I196" i="1"/>
  <c r="I193" i="1" s="1"/>
  <c r="H196" i="1"/>
  <c r="H193" i="1" s="1"/>
  <c r="G196" i="1"/>
  <c r="G193" i="1" s="1"/>
  <c r="F196" i="1"/>
  <c r="F193" i="1" s="1"/>
  <c r="E196" i="1"/>
  <c r="E193" i="1" s="1"/>
  <c r="D196" i="1"/>
  <c r="D193" i="1" s="1"/>
  <c r="C193" i="1"/>
  <c r="K183" i="1"/>
  <c r="K180" i="1" s="1"/>
  <c r="J183" i="1"/>
  <c r="J180" i="1" s="1"/>
  <c r="I183" i="1"/>
  <c r="I180" i="1" s="1"/>
  <c r="H183" i="1"/>
  <c r="H180" i="1" s="1"/>
  <c r="G183" i="1"/>
  <c r="G180" i="1" s="1"/>
  <c r="F183" i="1"/>
  <c r="F180" i="1" s="1"/>
  <c r="E183" i="1"/>
  <c r="E180" i="1" s="1"/>
  <c r="D183" i="1"/>
  <c r="D180" i="1" s="1"/>
  <c r="C180" i="1"/>
  <c r="D179" i="1"/>
  <c r="G189" i="1" l="1"/>
  <c r="K189" i="1"/>
  <c r="D189" i="1"/>
  <c r="H189" i="1"/>
  <c r="E189" i="1"/>
  <c r="I189" i="1"/>
  <c r="F189" i="1"/>
  <c r="J189" i="1"/>
  <c r="E178" i="1"/>
  <c r="G178" i="1" l="1"/>
  <c r="G179" i="1" s="1"/>
  <c r="E179" i="1"/>
  <c r="F178" i="1"/>
  <c r="F179" i="1" s="1"/>
  <c r="E185" i="1"/>
  <c r="D185" i="1"/>
  <c r="C185" i="1"/>
  <c r="I178" i="1" l="1"/>
  <c r="I179" i="1" s="1"/>
  <c r="G185" i="1"/>
  <c r="G186" i="1" s="1"/>
  <c r="F185" i="1"/>
  <c r="F186" i="1" s="1"/>
  <c r="D186" i="1"/>
  <c r="E186" i="1"/>
  <c r="H178" i="1"/>
  <c r="J178" i="1" s="1"/>
  <c r="J179" i="1" s="1"/>
  <c r="I185" i="1" l="1"/>
  <c r="I186" i="1" s="1"/>
  <c r="K178" i="1"/>
  <c r="K179" i="1" s="1"/>
  <c r="H185" i="1"/>
  <c r="H186" i="1" s="1"/>
  <c r="H179" i="1"/>
  <c r="J185" i="1"/>
  <c r="K191" i="1"/>
  <c r="J191" i="1"/>
  <c r="I191" i="1"/>
  <c r="H191" i="1"/>
  <c r="G191" i="1"/>
  <c r="F191" i="1"/>
  <c r="E191" i="1"/>
  <c r="D191" i="1"/>
  <c r="K185" i="1" l="1"/>
  <c r="K186" i="1" s="1"/>
  <c r="J186" i="1"/>
  <c r="F19" i="1" l="1"/>
  <c r="G19" i="1"/>
  <c r="G18" i="1" l="1"/>
  <c r="F18" i="1"/>
  <c r="I19" i="1" l="1"/>
  <c r="K19" i="1"/>
  <c r="I18" i="1" l="1"/>
  <c r="K18" i="1"/>
  <c r="J19" i="1"/>
  <c r="H19" i="1"/>
  <c r="H18" i="1" l="1"/>
  <c r="J18" i="1"/>
</calcChain>
</file>

<file path=xl/sharedStrings.xml><?xml version="1.0" encoding="utf-8"?>
<sst xmlns="http://schemas.openxmlformats.org/spreadsheetml/2006/main" count="594" uniqueCount="265">
  <si>
    <t xml:space="preserve">       Показатели</t>
  </si>
  <si>
    <t>Единица измерения</t>
  </si>
  <si>
    <t>млн.руб.</t>
  </si>
  <si>
    <t>%</t>
  </si>
  <si>
    <t>тыс.тонн</t>
  </si>
  <si>
    <t>в том числе</t>
  </si>
  <si>
    <t>человек</t>
  </si>
  <si>
    <t>рублей</t>
  </si>
  <si>
    <t>тыс.куб.м</t>
  </si>
  <si>
    <t>ПОТРЕБИТЕЛЬСКИЙ  РЫНОК</t>
  </si>
  <si>
    <t>тонн</t>
  </si>
  <si>
    <t>тыс.шт</t>
  </si>
  <si>
    <t>Индекс-дефлятор к предыдущему году</t>
  </si>
  <si>
    <t>Выплаты социального характера, всего</t>
  </si>
  <si>
    <t>Индекс промышленного производства</t>
  </si>
  <si>
    <t xml:space="preserve">Индекс производства к предыдущему году </t>
  </si>
  <si>
    <t>тыс. дкл</t>
  </si>
  <si>
    <t>млн. условных кирпичей</t>
  </si>
  <si>
    <t>Инвестиции в основной капитал за счет всех источников финансирования - всего</t>
  </si>
  <si>
    <t>Индекс физического объема к предыдущему году в сопоставимых ценах</t>
  </si>
  <si>
    <t xml:space="preserve">Оборот розничной торговли </t>
  </si>
  <si>
    <t>Индекс физического объема оборота розничной торговли</t>
  </si>
  <si>
    <t>Индекс-дефлятор оборота розничной торговли</t>
  </si>
  <si>
    <t xml:space="preserve">Объем платных услуг населению </t>
  </si>
  <si>
    <t>Индекс физического объема платных услуг населению</t>
  </si>
  <si>
    <t xml:space="preserve"> Т Р У Д     </t>
  </si>
  <si>
    <t xml:space="preserve"> ФИНАНСЫ</t>
  </si>
  <si>
    <t xml:space="preserve"> СЕЛЬСКОЕ ХОЗЯЙСТВО</t>
  </si>
  <si>
    <t>ПРОИЗВОДСТВО ВАЖНЕЙШИХ ВИДОВ ПРОДУКЦИИ В НАТУРАЛЬНОМ ВЫРАЖЕНИИ</t>
  </si>
  <si>
    <t>тыс. тонн</t>
  </si>
  <si>
    <t>единиц</t>
  </si>
  <si>
    <t>млн. руб.</t>
  </si>
  <si>
    <t>тыс. пар</t>
  </si>
  <si>
    <t>тыс. штук</t>
  </si>
  <si>
    <t>тыс. руб.</t>
  </si>
  <si>
    <t>в % к пред. году</t>
  </si>
  <si>
    <t>СТРОИТЕЛЬСТВО и  ИНВЕСТИЦИИ</t>
  </si>
  <si>
    <t xml:space="preserve"> прогноз</t>
  </si>
  <si>
    <t>млн. рублей в ценах соотв.лет</t>
  </si>
  <si>
    <t xml:space="preserve">млн. руб. </t>
  </si>
  <si>
    <t>млн. руб. в ценах соотв. лет</t>
  </si>
  <si>
    <t>% к пред. году</t>
  </si>
  <si>
    <t>кв.м общей площади</t>
  </si>
  <si>
    <t>Объем выполненных работ по виду деятельности "строительство"</t>
  </si>
  <si>
    <t>Ввод в действие жилых домов</t>
  </si>
  <si>
    <t>Ввод в действие новых (производственных) предприятий или объектов (расшифровать по срокам ввода)</t>
  </si>
  <si>
    <t>Отчёт</t>
  </si>
  <si>
    <t>ПРОМЫШЛЕННОЕ ПРОИЗВОДСТВО</t>
  </si>
  <si>
    <t>Продукция сельского хозяйства в хозяйствах всех категорий</t>
  </si>
  <si>
    <t>% к предыдущему году</t>
  </si>
  <si>
    <t>тыс. плот. куб. м</t>
  </si>
  <si>
    <t>Добыча алмазов (руда)</t>
  </si>
  <si>
    <t>Прибыль прибыльных организаций с учетом филиалов и структурных подразделений организаций, зарегистрированных за пределами области</t>
  </si>
  <si>
    <t>Ввод в действие новых предприятий (производств) (расшифровать )</t>
  </si>
  <si>
    <t>Оценка</t>
  </si>
  <si>
    <t>ДЕМОГРАФИЧЕСКИЕ ПОКАЗАТЕЛИ</t>
  </si>
  <si>
    <t>Численность постоянного населения (среднегодовая)</t>
  </si>
  <si>
    <t>тыс. человек</t>
  </si>
  <si>
    <t>Индекс-дефлятор объема платных услуг</t>
  </si>
  <si>
    <t>Численность безработных, зарегистрированных в службах занятости</t>
  </si>
  <si>
    <t xml:space="preserve">Численность незанятых граждан, зарегистрированных в органах государственной службы занятости, в расчете на одну заявленную вакансию </t>
  </si>
  <si>
    <t xml:space="preserve">Доля прибыльных предприятий </t>
  </si>
  <si>
    <t>Продукция сельского хозяйства</t>
  </si>
  <si>
    <t>Промышленная продукция</t>
  </si>
  <si>
    <t>Продукция растениеводства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</si>
  <si>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</si>
  <si>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</si>
  <si>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</si>
  <si>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</si>
  <si>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</si>
  <si>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Водка</t>
  </si>
  <si>
    <t>Фанера клееная</t>
  </si>
  <si>
    <t>Бумага</t>
  </si>
  <si>
    <t>Картон</t>
  </si>
  <si>
    <t>Портландцемент, цемент глиноземистый, цемент шлаковый и аналогичные цементы гидравлические</t>
  </si>
  <si>
    <t>Кирпич строительный (включая камни) из цемента, бетона или искусственного камня</t>
  </si>
  <si>
    <t>Кондитерские изделия</t>
  </si>
  <si>
    <t>из них - недвижимое имущество</t>
  </si>
  <si>
    <t xml:space="preserve">Среднегодовая полная учетная стоимость основных фондов коммерческих организаций </t>
  </si>
  <si>
    <t>Среднемесячная заработная плата одного работника</t>
  </si>
  <si>
    <t>Финансовый результат с учетом филиалов и структурных подразделений организаций, зарегистрированных за пределами области (прибыль(+), убыток (-)</t>
  </si>
  <si>
    <t>Ликероводочные изделия с содержанием  спирта до 25 % включительно от объема готовой продукции</t>
  </si>
  <si>
    <t>Ликероводочные изделия с содержанием спирта свыше 25% включительно от объема готовой продукции</t>
  </si>
  <si>
    <t>Скот и птица на убой (в живом весе)</t>
  </si>
  <si>
    <t>Молоко</t>
  </si>
  <si>
    <t>Яйца</t>
  </si>
  <si>
    <t>Мясо и субпродукты пищевые домашней птицы</t>
  </si>
  <si>
    <t>Бокситы</t>
  </si>
  <si>
    <t>Уровень регистрируемой безработицы (к численности населения в трудоспособном возрасте)</t>
  </si>
  <si>
    <t xml:space="preserve"> %</t>
  </si>
  <si>
    <t>Городское население (среднегодовая)</t>
  </si>
  <si>
    <t>Сельское население (среднегодовая)</t>
  </si>
  <si>
    <t>Среднесписочная численность работников бюджетной сферы - всего</t>
  </si>
  <si>
    <t>образование</t>
  </si>
  <si>
    <t>в том числе:</t>
  </si>
  <si>
    <t>в том числе в отраслях бюджетной сферы:</t>
  </si>
  <si>
    <t xml:space="preserve"> Фонд заработной платы всех работников организаций отраслей бюджетной сферы - всего</t>
  </si>
  <si>
    <t>Объем отгруженных товаров собственного производства, выполненных работ и услуг собственными силами - 10: Производство пищевых продуктов</t>
  </si>
  <si>
    <t>Объем отгруженных товаров собственного производства, выполненных работ и услуг собственными силами - 22 Производство резиновых и пластмассовых изделий</t>
  </si>
  <si>
    <t>Объем отгруженных товаров собственного производства, выполненных работ и услуг собственными силами - 21 Производство лекарственных средств и материалов, применяемых в медицинских целях</t>
  </si>
  <si>
    <t>Объем отгруженных товаров собственного производства, выполненных работ и услуг собственными силами - 20 Производство химических веществ и химических продуктов</t>
  </si>
  <si>
    <t>Объем отгруженных товаров собственного производства, выполненных работ и услуг собственными силами - 19 Производство кокса и нефтепродуктов</t>
  </si>
  <si>
    <t>Объем отгруженных товаров собственного производства, выполненных работ и услуг собственными силами - 18 Деятельность полиграфическая и копирование носителей информации</t>
  </si>
  <si>
    <t>Объем отгруженных товаров собственного производства, выполненных работ и услуг собственными силами - 17 Производство бумаги и бумажных изделий</t>
  </si>
  <si>
    <t>Объем отгруженных товаров собственного производства, выполненных работ и услуг собственными силами - 16 Обработка древесины и производство изделий из дерева  и пробки, кроме мебели, производство изделий из соломки и материалов для плетения</t>
  </si>
  <si>
    <t>Объем отгруженных товаров собственного производства, выполненных работ и услуг собственными силами - 15 Производство кожи и изделий из кожи</t>
  </si>
  <si>
    <t>Объем отгруженных товаров собственного производства, выполненных работ и услуг собственными силами - 14 Производство одежды</t>
  </si>
  <si>
    <t>Объем отгруженных товаров собственного производства, выполненных работ и услуг собственными силами - 13 Производство текстильных изделий</t>
  </si>
  <si>
    <t>Объем отгруженных товаров собственного производства, выполненных работ и услуг собственными силами - 10 Производство пищевых продуктов</t>
  </si>
  <si>
    <t>Объем отгруженных товаров собственного производства, выполненных работ и услуг собственными силами - 23 Производство прочих неметаллических минеральных продуктов</t>
  </si>
  <si>
    <t xml:space="preserve">Объем отгруженных товаров собственного производства, выполненных работ и услуг собственными силами - 24 Производство металлургическое производство </t>
  </si>
  <si>
    <t>Объем отгруженных товаров собственного производства, выполненных работ и услуг собственными силами - 25 Производство готовых металлических изделий, кроме машин и оборудованя</t>
  </si>
  <si>
    <t>Объем отгруженных товаров собственного производства, выполненных работ и услуг собственными силами - 26 Производство компъютеров, электронных и оптических изделий</t>
  </si>
  <si>
    <t>Объем отгруженных товаров собственного производства, выполненных работ и услуг собственными силами -27 Производство электрического оборудования</t>
  </si>
  <si>
    <t>Объем отгруженных товаров собственного производства, выполненных работ и услуг собственными силами - 28 Производство машин и оборудования, не включенных в другие группировки</t>
  </si>
  <si>
    <t>Объем отгруженных товаров собственного производства, выполненных работ и услуг собственными силами - 29 Производство автотранспортных средств, прицепов и полуприцепов</t>
  </si>
  <si>
    <t>Объем отгруженных товаров собственного производства, выполненных работ и услуг собственными силами - 30 Производство прочих транспортных средств и оборудования</t>
  </si>
  <si>
    <t>Объем отгруженных товаров собственного производства, выполненных работ и услуг собственными силами - 31 Производство мебели</t>
  </si>
  <si>
    <t>Объем отгруженных товаров собственного производства, выполненных работ и услуг собственными силами - 32 Производство прочих готовых изделий</t>
  </si>
  <si>
    <t>Продукты кисломолочные (кроме творога)</t>
  </si>
  <si>
    <t>Изделия хлебобулочные изделия недлительного хранения</t>
  </si>
  <si>
    <t>Изделия хлебобулочные изделия длительного хранения</t>
  </si>
  <si>
    <t xml:space="preserve">Пиво, кроме отходов пивоварения </t>
  </si>
  <si>
    <t>Пиломатериалы хвойных пород</t>
  </si>
  <si>
    <t>Пиломатериалы лиственных пород</t>
  </si>
  <si>
    <t>Щепа технологическая</t>
  </si>
  <si>
    <t xml:space="preserve">Целлюлоза </t>
  </si>
  <si>
    <t>Материалы лакокрасочные</t>
  </si>
  <si>
    <t>Пески природные</t>
  </si>
  <si>
    <t>Блоки и прочие  изделия сборные строительные</t>
  </si>
  <si>
    <t>Изделия трикотажные или вязанные</t>
  </si>
  <si>
    <t>Спецодежда</t>
  </si>
  <si>
    <t xml:space="preserve">деятельность в области культуры, спорта, организации досуга и развлечений </t>
  </si>
  <si>
    <t>Молоко, кроме сырого</t>
  </si>
  <si>
    <t>Картофель</t>
  </si>
  <si>
    <t>Овощи</t>
  </si>
  <si>
    <t>Лесоматериалы необработанные</t>
  </si>
  <si>
    <t>Мясо крупного рогатого скота, свинина, баранина, козлятина, конина и мясо прочих животных семейства лошадиных, оленина и мясо прочих животных семейства оленьих (оленевых) парные, остывшие или охлажденные</t>
  </si>
  <si>
    <t>Масло сливочное, пасты масляные, масло топленое, жир молочный, спреды и смеси топленые сливочно-растительные</t>
  </si>
  <si>
    <t>Продукция из рыбы свежая, охлажденная или мороженая</t>
  </si>
  <si>
    <t xml:space="preserve">Лесоматериалы, продольно распиленные или расколотые, 
 разделенные на слои или лущеные, толщиной более 6 мм;  
 деревянные железнодорожные или трамвайные шпалы, 
 непропитанные
</t>
  </si>
  <si>
    <t>Изделия ювелирные и подобные</t>
  </si>
  <si>
    <t>Культуры зерновые</t>
  </si>
  <si>
    <t>Гранлы топливные (пеллеты)</t>
  </si>
  <si>
    <t>консервативный</t>
  </si>
  <si>
    <t xml:space="preserve">базовый </t>
  </si>
  <si>
    <t>Объем отгруженных товаров собственного производства, выполненных работ и услуг собственными силами - B Добыча полезных ископаемых</t>
  </si>
  <si>
    <t>Объем отгруженных товаров собственного производства, выполненных работ и услуг собственными силами - C Обрабатывающие производства</t>
  </si>
  <si>
    <t xml:space="preserve">Объем отгруженных товаров собственного произ-водства, выполненных работ и услуг собственными силами -D Обеспечение электрической энергией, газом и паром; кондиционирование воздуха  </t>
  </si>
  <si>
    <t xml:space="preserve">Объем отгруженных товаров собственного произ-водства, выполненных работ и услуг собственными силами - E Водоснабжение; водоотведение, организация сбора и утилизации отходов, деятельность по ликвидации загрязнений </t>
  </si>
  <si>
    <t>Фонд начисленной заработной платы работников организаций (без субъектов  малого предпринимательства)</t>
  </si>
  <si>
    <t>Среднесписочная численность работников организаций (без субъектов малого предпринимательства)</t>
  </si>
  <si>
    <t>2022 год</t>
  </si>
  <si>
    <t>2025 год (по вариантам)</t>
  </si>
  <si>
    <t>2023 год</t>
  </si>
  <si>
    <t>2026 год (по вариантам)</t>
  </si>
  <si>
    <t xml:space="preserve"> на 2025 год и плановый период 2026 и 2027 годов</t>
  </si>
  <si>
    <t>2024 год</t>
  </si>
  <si>
    <t>2027 год (по вариантам)</t>
  </si>
  <si>
    <t>Прогноз социально - экономического развития Вельского муниципального района Архангельской области</t>
  </si>
  <si>
    <t xml:space="preserve">Объем отгруженных товаров собственного производства, выполненных работ и услуг собственными силами - 11 Производство напитков </t>
  </si>
  <si>
    <t>2,7</t>
  </si>
  <si>
    <t xml:space="preserve">СЕЛЬСКОЕ ХОЗЯЙСТВО </t>
  </si>
  <si>
    <t>Строительство газопровода-отвода и ГРС "Кулой" Вельского района  Архангельской области</t>
  </si>
  <si>
    <t>ВСЕГО</t>
  </si>
  <si>
    <t>Прочие</t>
  </si>
  <si>
    <t>Наименование показателя</t>
  </si>
  <si>
    <t>Ед. изм</t>
  </si>
  <si>
    <t>ГАЗИФИКАЦИЯ И ЖКХ</t>
  </si>
  <si>
    <t>Реконструкция водопроводно-очистных сооружений в городском поселении "Вельское"</t>
  </si>
  <si>
    <t>Строительство газопровода межпоселковый от ГРС "Кулой" до пос. Кулой, Кулойской ГТ-ТЭЦ и дер. Мелединская Вельского района</t>
  </si>
  <si>
    <t>Реконструкция объектов водоснабжения в п.Кулой городского поселения «Кулойское»</t>
  </si>
  <si>
    <t>Реконструкция объектов водоотведения (в т.ч. очистных сооружений) в п. Кулой городского поселения  «Кулойское»</t>
  </si>
  <si>
    <t>Строительство молочно-товарной фермы на 2000 дойных коров с выращиванием молодняка в АО «Агрофирма «Вельская»</t>
  </si>
  <si>
    <t>Реконструкция мелиоративных систем в АО «Агрофирма «Вельская» в д.Теребино</t>
  </si>
  <si>
    <t>Реконструкция мелиоративных систем в АО "Агрофирма Вельская"</t>
  </si>
  <si>
    <t>Капитальный ремонт молочно-товарной фермы с молочным блоком в АО «Агрофирма «Вельская»</t>
  </si>
  <si>
    <t>Реконструкция молочно-товарной фермы в  АО "Важское" на 200 голов в д. Мелединская</t>
  </si>
  <si>
    <t>Строительство силосных траншей в АО "Важское"</t>
  </si>
  <si>
    <t>Реконструкция молочно-товарной фермы на 360 голов в д.Мелединская, АО «Важское»</t>
  </si>
  <si>
    <t>Строительство животноводческого комплекса с роботизированной системой доения в АО "Важское" д. Нестюковская</t>
  </si>
  <si>
    <t>Реконструкция молочно-товарной фермы в ООО "Пежма"</t>
  </si>
  <si>
    <t>ЦВЕТОЧНЫЙ</t>
  </si>
  <si>
    <t>Строительство двух силосных траншей  в ООО "Пежма"</t>
  </si>
  <si>
    <t>Строительство телятника на 200 голов в ООО «Пежма»</t>
  </si>
  <si>
    <t>Строительство цеха по производству комбикормов в ООО «Пежма»</t>
  </si>
  <si>
    <t>Строительство силосных траншей в ООО "Пежма"</t>
  </si>
  <si>
    <t>Строительство молочно-товарной фермы на 240 голов   в ООО «Агрофирма Судромская» (д.Погост)</t>
  </si>
  <si>
    <t>Строительство силосных траншей в ООО «Агрофирма Судромская»</t>
  </si>
  <si>
    <t>ПРОМЫШЛЕННОСТЬ</t>
  </si>
  <si>
    <t>Строительство кормоцеха в ООО «Агрофирма Судромская»</t>
  </si>
  <si>
    <t>Строительство телятника на 276 голов в ООО "Агрофирма Судромская"</t>
  </si>
  <si>
    <t>Строительство газопровода распределительного  в п.Кулой Вельского района Архангельской области</t>
  </si>
  <si>
    <t>Реконструкция системы теплоснабжения п.Кулой Вельского района Архангельской области</t>
  </si>
  <si>
    <t>-</t>
  </si>
  <si>
    <t>Объем производства промышленной продукции</t>
  </si>
  <si>
    <t>Министерство экономического развития
Российской Федерации</t>
  </si>
  <si>
    <r>
      <t>Прогноз индексов цен производителей</t>
    </r>
    <r>
      <rPr>
        <b/>
        <vertAlign val="superscript"/>
        <sz val="16"/>
        <color rgb="FF203277"/>
        <rFont val="Arial"/>
        <family val="2"/>
        <charset val="204"/>
      </rPr>
      <t>1</t>
    </r>
    <r>
      <rPr>
        <b/>
        <sz val="16"/>
        <color rgb="FF203277"/>
        <rFont val="Arial"/>
        <family val="2"/>
        <charset val="204"/>
      </rPr>
      <t xml:space="preserve"> и индексов-дефляторов
по видам экономической деятельности на период до 2027 года, в % г/г</t>
    </r>
  </si>
  <si>
    <t xml:space="preserve"> Базовый вариант</t>
  </si>
  <si>
    <r>
      <t>отчет</t>
    </r>
    <r>
      <rPr>
        <b/>
        <vertAlign val="superscript"/>
        <sz val="13"/>
        <rFont val="Arial"/>
        <family val="2"/>
        <charset val="204"/>
      </rPr>
      <t>2</t>
    </r>
  </si>
  <si>
    <t>оценка</t>
  </si>
  <si>
    <t>прогноз</t>
  </si>
  <si>
    <t>Промышленность (BCDE)</t>
  </si>
  <si>
    <t xml:space="preserve">  дефлятор</t>
  </si>
  <si>
    <t xml:space="preserve">  ИЦП</t>
  </si>
  <si>
    <t xml:space="preserve">   в т. ч.  без продукции ТЭКа (нефть, нефтепродукты, уголь, газ, энергетика)</t>
  </si>
  <si>
    <t>Добыча полезных ископаемых (Раздел B)</t>
  </si>
  <si>
    <t xml:space="preserve">Добыча топливно-энергетических полезных ископаемых (05, 06+09) </t>
  </si>
  <si>
    <t>Добыча угля (05)</t>
  </si>
  <si>
    <r>
      <t xml:space="preserve">  уголь энергетический каменный</t>
    </r>
    <r>
      <rPr>
        <i/>
        <vertAlign val="superscript"/>
        <sz val="13"/>
        <color indexed="8"/>
        <rFont val="Arial"/>
        <family val="2"/>
        <charset val="204"/>
      </rPr>
      <t>3</t>
    </r>
  </si>
  <si>
    <t>Добыча сырой нефти и природного газа (06+09)</t>
  </si>
  <si>
    <t xml:space="preserve">Добыча металлических руд и прочих полезных ископаемых (07, 08) </t>
  </si>
  <si>
    <t>Добыча металлических руд (07)</t>
  </si>
  <si>
    <t>Добыча прочих полезных ископаемых (08)</t>
  </si>
  <si>
    <t>Обрабатывающие производства (Раздел C)</t>
  </si>
  <si>
    <t>Производство пищевых продуктов, Производство напитков, Производство табачных изделий (10, 11, 12)</t>
  </si>
  <si>
    <t>Производство текстильных изделий, Производство одежды, Производство кожи и изделий из кожи (13, 14, 15)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</si>
  <si>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</si>
  <si>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Производство бумаги и бумажных изделий (17)</t>
  </si>
  <si>
    <t>Производство нефтепродуктов (19.2)</t>
  </si>
  <si>
    <t>Производство химических веществ и химических продуктов, Производство лекарственных средств и материалов, применяемых в медицинских целях, Производство резиновых и пластмассовых изделий (20, 21, 22)</t>
  </si>
  <si>
    <t>Производство прочей неметаллической минеральной продукции (23)</t>
  </si>
  <si>
    <t xml:space="preserve">Производство черных металлов (24.1, 24.2, 24.3, 24.5) </t>
  </si>
  <si>
    <t>Производство основных драгоценных металлов и прочих цветных металлов, производство ядерного топлива (24.4)</t>
  </si>
  <si>
    <t>Производство готовых металлических изделий, кроме машин и оборудования (25)</t>
  </si>
  <si>
    <t>Продукция машиностроения (26, 27, 28, 29, 30, 33)</t>
  </si>
  <si>
    <t>Обеспечение электрической энергией, газом и паром; кондиционирование воздуха (Раздел D)</t>
  </si>
  <si>
    <t>Водоснабжение; водоотведение, организация сбора и утилизация отходов, деятельность по ликвидации загрязнений (Раздел E)</t>
  </si>
  <si>
    <t>Сельское хозяйство</t>
  </si>
  <si>
    <t xml:space="preserve"> - растениеводство</t>
  </si>
  <si>
    <t xml:space="preserve"> - животноводство</t>
  </si>
  <si>
    <t xml:space="preserve">  индекс цен реализации продукции сельхозпроизводителями</t>
  </si>
  <si>
    <t>Транспорт, вкл. трубопроводный</t>
  </si>
  <si>
    <r>
      <t xml:space="preserve">  дефлятор</t>
    </r>
    <r>
      <rPr>
        <b/>
        <vertAlign val="superscript"/>
        <sz val="13"/>
        <color indexed="8"/>
        <rFont val="Arial"/>
        <family val="2"/>
        <charset val="204"/>
      </rPr>
      <t>4</t>
    </r>
  </si>
  <si>
    <r>
      <t xml:space="preserve">  ИЦП</t>
    </r>
    <r>
      <rPr>
        <vertAlign val="superscript"/>
        <sz val="13"/>
        <rFont val="Arial"/>
        <family val="2"/>
        <charset val="204"/>
      </rPr>
      <t>5</t>
    </r>
  </si>
  <si>
    <r>
      <t xml:space="preserve">  ИЦП</t>
    </r>
    <r>
      <rPr>
        <vertAlign val="superscript"/>
        <sz val="13"/>
        <rFont val="Arial"/>
        <family val="2"/>
        <charset val="204"/>
      </rPr>
      <t>5</t>
    </r>
    <r>
      <rPr>
        <sz val="13"/>
        <rFont val="Arial"/>
        <family val="2"/>
        <charset val="204"/>
      </rPr>
      <t xml:space="preserve"> с исключением трубопроводного транспорта</t>
    </r>
  </si>
  <si>
    <r>
      <t>Инвестиции в основной капитал</t>
    </r>
    <r>
      <rPr>
        <b/>
        <vertAlign val="superscript"/>
        <sz val="13"/>
        <color indexed="8"/>
        <rFont val="Arial"/>
        <family val="2"/>
        <charset val="204"/>
      </rPr>
      <t xml:space="preserve"> 6</t>
    </r>
  </si>
  <si>
    <t xml:space="preserve">  индексы цен </t>
  </si>
  <si>
    <t>Строительство</t>
  </si>
  <si>
    <r>
      <t xml:space="preserve">Потребительский рынок </t>
    </r>
    <r>
      <rPr>
        <b/>
        <vertAlign val="superscript"/>
        <sz val="13"/>
        <color indexed="8"/>
        <rFont val="Arial"/>
        <family val="2"/>
        <charset val="204"/>
      </rPr>
      <t>7</t>
    </r>
  </si>
  <si>
    <t xml:space="preserve">  оборот розничной торговли, дефлятор</t>
  </si>
  <si>
    <t xml:space="preserve">  ИПЦ на товары</t>
  </si>
  <si>
    <t xml:space="preserve">  платные услуги населению, дефлятор</t>
  </si>
  <si>
    <t xml:space="preserve">  ИПЦ на услуги</t>
  </si>
  <si>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 xml:space="preserve"> На продукцию, реализованную на внутренний рынок.</t>
    </r>
  </si>
  <si>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Индексы-дефляторы, выделены курсивом - оценка.</t>
    </r>
  </si>
  <si>
    <r>
      <rPr>
        <vertAlign val="superscript"/>
        <sz val="10"/>
        <color theme="1"/>
        <rFont val="Arial"/>
        <family val="2"/>
        <charset val="204"/>
      </rPr>
      <t xml:space="preserve">3 </t>
    </r>
    <r>
      <rPr>
        <sz val="10"/>
        <color theme="1"/>
        <rFont val="Arial"/>
        <family val="2"/>
        <charset val="204"/>
      </rPr>
      <t>В соответствии с Общероссийским классификатором продукции по видам экономической деятельности (ОКПД2) ОК 034-2014 (КПЕС 2008)  уголь, за исключением антрацита, угля коксующегося и угля бурого (05.10.10.130).</t>
    </r>
  </si>
  <si>
    <r>
      <rPr>
        <vertAlign val="superscript"/>
        <sz val="10"/>
        <color theme="1"/>
        <rFont val="Arial"/>
        <family val="2"/>
        <charset val="204"/>
      </rPr>
      <t>4</t>
    </r>
    <r>
      <rPr>
        <sz val="10"/>
        <color theme="1"/>
        <rFont val="Arial"/>
        <family val="2"/>
        <charset val="204"/>
      </rPr>
      <t xml:space="preserve"> По виду деятельности "Транспортировка и хранение".</t>
    </r>
  </si>
  <si>
    <r>
      <rPr>
        <vertAlign val="superscript"/>
        <sz val="10"/>
        <color theme="1"/>
        <rFont val="Arial"/>
        <family val="2"/>
        <charset val="204"/>
      </rPr>
      <t>5</t>
    </r>
    <r>
      <rPr>
        <sz val="10"/>
        <color theme="1"/>
        <rFont val="Arial"/>
        <family val="2"/>
        <charset val="204"/>
      </rPr>
      <t xml:space="preserve"> Индекс тарифов на грузовые перевозки.</t>
    </r>
  </si>
  <si>
    <r>
      <rPr>
        <vertAlign val="superscript"/>
        <sz val="10"/>
        <color theme="1"/>
        <rFont val="Arial"/>
        <family val="2"/>
        <charset val="204"/>
      </rPr>
      <t>6</t>
    </r>
    <r>
      <rPr>
        <sz val="10"/>
        <color theme="1"/>
        <rFont val="Arial"/>
        <family val="2"/>
        <charset val="204"/>
      </rPr>
      <t xml:space="preserve"> За счет всех источников финансирования.</t>
    </r>
  </si>
  <si>
    <r>
      <rPr>
        <vertAlign val="superscript"/>
        <sz val="10"/>
        <color theme="1"/>
        <rFont val="Arial"/>
        <family val="2"/>
        <charset val="204"/>
      </rPr>
      <t xml:space="preserve">7 </t>
    </r>
    <r>
      <rPr>
        <sz val="10"/>
        <color theme="1"/>
        <rFont val="Arial"/>
        <family val="2"/>
        <charset val="204"/>
      </rPr>
      <t>С учетом НДС, косвенных налогов, торгово-транспортной наценки.</t>
    </r>
  </si>
  <si>
    <t>Строительство телятника на 600 голов в ООО «Пежма»</t>
  </si>
  <si>
    <t>Модернизация животноводческого комплекса на 400 голов в ООО "Агрофирма Судромская"</t>
  </si>
  <si>
    <t>Капитальный ремонт конюшни на 20 конемест в АО "Агрофирма Вельская"</t>
  </si>
  <si>
    <t xml:space="preserve">Строительство телятника на 256 голов в АО "Важское" </t>
  </si>
  <si>
    <t>Строительство телятника на 186 голов в АО «Важское»</t>
  </si>
  <si>
    <t>Строительство телятника на 494 головы в АО "Важское"</t>
  </si>
  <si>
    <t>Строительство родильного отделения на 117 коров в АО "Важское"</t>
  </si>
  <si>
    <t>Реконструкция коровника для сухостойных коров на 110 голов в АО "Важское"</t>
  </si>
  <si>
    <t>Реконструкция мелиоративных систем в АО "Важское"</t>
  </si>
  <si>
    <t>Строительство склада хранения кормов в АО "Важское"</t>
  </si>
  <si>
    <t>Строительство сети уличного освещения в мкр. Южный г.Вельска Архангельской области</t>
  </si>
  <si>
    <t>Строительство сетей водоснабжения по ул. Глинница г.Вельск Архангельской области</t>
  </si>
  <si>
    <t>Строительство сетей водоснабжения по ул. Некрасова г.Вельск Архангельской области</t>
  </si>
  <si>
    <t>Строительство сетей водоснабжения по ул. Некрасова г Вельск Архангельской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</si>
</sst>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0_)"/>
    <numFmt numFmtId="167" formatCode="0.0_)"/>
    <numFmt numFmtId="168" formatCode="0.000"/>
  </numFmts>
  <fonts count="5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9"/>
      <name val="Arial Cyr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9"/>
      <color indexed="8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4"/>
      <name val="Arial Cyr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16"/>
      <color rgb="FF203277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vertAlign val="superscript"/>
      <sz val="16"/>
      <color rgb="FF203277"/>
      <name val="Arial"/>
      <family val="2"/>
      <charset val="204"/>
    </font>
    <font>
      <b/>
      <sz val="16"/>
      <color rgb="FF2C2C84"/>
      <name val="Arial"/>
      <family val="2"/>
      <charset val="204"/>
    </font>
    <font>
      <sz val="10"/>
      <name val="Courier"/>
      <family val="1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vertAlign val="superscript"/>
      <sz val="13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03277"/>
      <name val="Arial"/>
      <family val="2"/>
      <charset val="204"/>
    </font>
    <font>
      <sz val="12"/>
      <color rgb="FF203277"/>
      <name val="Arial"/>
      <family val="2"/>
      <charset val="204"/>
    </font>
    <font>
      <sz val="12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vertAlign val="superscript"/>
      <sz val="13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b/>
      <vertAlign val="superscript"/>
      <sz val="13"/>
      <color indexed="8"/>
      <name val="Arial"/>
      <family val="2"/>
      <charset val="204"/>
    </font>
    <font>
      <vertAlign val="superscript"/>
      <sz val="13"/>
      <name val="Arial"/>
      <family val="2"/>
      <charset val="204"/>
    </font>
    <font>
      <sz val="13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1F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26" fillId="0" borderId="0"/>
    <xf numFmtId="0" fontId="2" fillId="0" borderId="0"/>
    <xf numFmtId="0" fontId="2" fillId="0" borderId="0"/>
    <xf numFmtId="166" fontId="32" fillId="0" borderId="0"/>
    <xf numFmtId="0" fontId="1" fillId="0" borderId="0"/>
  </cellStyleXfs>
  <cellXfs count="378">
    <xf numFmtId="0" fontId="0" fillId="0" borderId="0" xfId="0"/>
    <xf numFmtId="2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Protection="1"/>
    <xf numFmtId="0" fontId="4" fillId="0" borderId="0" xfId="0" applyFont="1" applyFill="1" applyBorder="1" applyProtection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1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left" vertical="center" wrapText="1" inden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Continuous" vertical="center"/>
    </xf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5" fillId="4" borderId="1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 applyProtection="1">
      <alignment horizontal="left" vertical="top" wrapText="1" shrinkToFi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10" fillId="0" borderId="0" xfId="0" applyFont="1" applyBorder="1"/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Border="1"/>
    <xf numFmtId="0" fontId="11" fillId="0" borderId="0" xfId="0" applyFont="1"/>
    <xf numFmtId="2" fontId="12" fillId="0" borderId="0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Border="1"/>
    <xf numFmtId="0" fontId="13" fillId="0" borderId="0" xfId="0" applyFont="1"/>
    <xf numFmtId="0" fontId="6" fillId="0" borderId="1" xfId="0" applyFont="1" applyFill="1" applyBorder="1" applyAlignment="1" applyProtection="1">
      <alignment horizontal="left" vertical="center" wrapText="1" shrinkToFit="1"/>
    </xf>
    <xf numFmtId="0" fontId="11" fillId="0" borderId="0" xfId="0" applyFont="1" applyFill="1" applyBorder="1"/>
    <xf numFmtId="0" fontId="11" fillId="0" borderId="0" xfId="0" applyFont="1" applyFill="1"/>
    <xf numFmtId="0" fontId="6" fillId="0" borderId="1" xfId="0" applyFont="1" applyFill="1" applyBorder="1" applyAlignment="1">
      <alignment horizontal="left" vertical="center" wrapText="1" shrinkToFit="1"/>
    </xf>
    <xf numFmtId="0" fontId="13" fillId="0" borderId="0" xfId="0" applyFont="1" applyFill="1" applyBorder="1"/>
    <xf numFmtId="0" fontId="1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right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" fontId="5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5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left" vertical="center" wrapText="1" inden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0" fillId="0" borderId="10" xfId="0" applyFont="1" applyFill="1" applyBorder="1"/>
    <xf numFmtId="165" fontId="20" fillId="0" borderId="11" xfId="0" applyNumberFormat="1" applyFont="1" applyFill="1" applyBorder="1" applyAlignment="1">
      <alignment horizontal="center"/>
    </xf>
    <xf numFmtId="165" fontId="20" fillId="0" borderId="15" xfId="0" applyNumberFormat="1" applyFont="1" applyFill="1" applyBorder="1" applyAlignment="1">
      <alignment horizontal="center"/>
    </xf>
    <xf numFmtId="165" fontId="20" fillId="0" borderId="10" xfId="0" applyNumberFormat="1" applyFont="1" applyFill="1" applyBorder="1" applyAlignment="1">
      <alignment horizontal="center"/>
    </xf>
    <xf numFmtId="165" fontId="20" fillId="0" borderId="12" xfId="0" applyNumberFormat="1" applyFont="1" applyFill="1" applyBorder="1" applyAlignment="1">
      <alignment horizont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 vertical="center" wrapText="1"/>
    </xf>
    <xf numFmtId="165" fontId="21" fillId="0" borderId="1" xfId="0" applyNumberFormat="1" applyFont="1" applyFill="1" applyBorder="1"/>
    <xf numFmtId="165" fontId="21" fillId="0" borderId="1" xfId="0" applyNumberFormat="1" applyFont="1" applyFill="1" applyBorder="1" applyAlignment="1">
      <alignment horizontal="center"/>
    </xf>
    <xf numFmtId="165" fontId="17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9" xfId="0" applyFont="1" applyFill="1" applyBorder="1"/>
    <xf numFmtId="0" fontId="11" fillId="0" borderId="3" xfId="0" applyFont="1" applyFill="1" applyBorder="1"/>
    <xf numFmtId="0" fontId="11" fillId="0" borderId="5" xfId="0" applyFont="1" applyFill="1" applyBorder="1"/>
    <xf numFmtId="0" fontId="11" fillId="0" borderId="1" xfId="0" applyFont="1" applyFill="1" applyBorder="1"/>
    <xf numFmtId="0" fontId="22" fillId="0" borderId="1" xfId="0" applyFont="1" applyFill="1" applyBorder="1"/>
    <xf numFmtId="0" fontId="22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0" xfId="0" applyFont="1" applyFill="1"/>
    <xf numFmtId="0" fontId="11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165" fontId="11" fillId="0" borderId="8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/>
    <xf numFmtId="0" fontId="17" fillId="0" borderId="2" xfId="0" applyFont="1" applyFill="1" applyBorder="1" applyAlignment="1">
      <alignment horizontal="left" vertical="center" wrapText="1"/>
    </xf>
    <xf numFmtId="165" fontId="17" fillId="0" borderId="2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20" fillId="0" borderId="13" xfId="0" applyFont="1" applyFill="1" applyBorder="1"/>
    <xf numFmtId="0" fontId="20" fillId="0" borderId="16" xfId="0" applyFont="1" applyFill="1" applyBorder="1"/>
    <xf numFmtId="0" fontId="17" fillId="0" borderId="17" xfId="0" applyFont="1" applyFill="1" applyBorder="1" applyAlignment="1">
      <alignment vertical="top" wrapText="1"/>
    </xf>
    <xf numFmtId="0" fontId="20" fillId="0" borderId="18" xfId="0" applyFont="1" applyFill="1" applyBorder="1"/>
    <xf numFmtId="0" fontId="17" fillId="0" borderId="4" xfId="0" applyFont="1" applyFill="1" applyBorder="1"/>
    <xf numFmtId="165" fontId="17" fillId="0" borderId="4" xfId="0" applyNumberFormat="1" applyFont="1" applyFill="1" applyBorder="1"/>
    <xf numFmtId="165" fontId="17" fillId="0" borderId="4" xfId="0" applyNumberFormat="1" applyFont="1" applyFill="1" applyBorder="1" applyAlignment="1">
      <alignment horizontal="center"/>
    </xf>
    <xf numFmtId="2" fontId="17" fillId="0" borderId="19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2" fontId="11" fillId="0" borderId="9" xfId="0" applyNumberFormat="1" applyFont="1" applyFill="1" applyBorder="1" applyAlignment="1">
      <alignment horizontal="center"/>
    </xf>
    <xf numFmtId="165" fontId="11" fillId="0" borderId="9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wrapText="1"/>
    </xf>
    <xf numFmtId="0" fontId="20" fillId="0" borderId="20" xfId="0" applyFont="1" applyFill="1" applyBorder="1"/>
    <xf numFmtId="0" fontId="17" fillId="0" borderId="2" xfId="0" applyFont="1" applyFill="1" applyBorder="1"/>
    <xf numFmtId="165" fontId="17" fillId="0" borderId="2" xfId="0" applyNumberFormat="1" applyFont="1" applyFill="1" applyBorder="1"/>
    <xf numFmtId="2" fontId="17" fillId="0" borderId="8" xfId="0" applyNumberFormat="1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165" fontId="11" fillId="0" borderId="9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0" fontId="17" fillId="0" borderId="6" xfId="0" applyFont="1" applyFill="1" applyBorder="1"/>
    <xf numFmtId="2" fontId="17" fillId="0" borderId="5" xfId="0" applyNumberFormat="1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165" fontId="11" fillId="0" borderId="8" xfId="0" applyNumberFormat="1" applyFont="1" applyFill="1" applyBorder="1" applyAlignment="1">
      <alignment horizontal="center"/>
    </xf>
    <xf numFmtId="2" fontId="17" fillId="0" borderId="2" xfId="0" applyNumberFormat="1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20" fillId="0" borderId="12" xfId="0" applyFont="1" applyFill="1" applyBorder="1" applyAlignment="1">
      <alignment vertical="top" wrapText="1"/>
    </xf>
    <xf numFmtId="0" fontId="20" fillId="0" borderId="11" xfId="0" applyFont="1" applyFill="1" applyBorder="1"/>
    <xf numFmtId="0" fontId="20" fillId="0" borderId="15" xfId="0" applyFont="1" applyFill="1" applyBorder="1"/>
    <xf numFmtId="165" fontId="20" fillId="0" borderId="21" xfId="0" applyNumberFormat="1" applyFont="1" applyFill="1" applyBorder="1" applyAlignment="1">
      <alignment horizontal="center"/>
    </xf>
    <xf numFmtId="165" fontId="20" fillId="0" borderId="13" xfId="0" applyNumberFormat="1" applyFont="1" applyFill="1" applyBorder="1" applyAlignment="1">
      <alignment horizontal="center"/>
    </xf>
    <xf numFmtId="2" fontId="17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165" fontId="11" fillId="0" borderId="4" xfId="0" applyNumberFormat="1" applyFont="1" applyFill="1" applyBorder="1" applyAlignment="1">
      <alignment horizontal="center"/>
    </xf>
    <xf numFmtId="0" fontId="11" fillId="0" borderId="4" xfId="0" applyFont="1" applyFill="1" applyBorder="1"/>
    <xf numFmtId="165" fontId="11" fillId="0" borderId="19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justify"/>
    </xf>
    <xf numFmtId="0" fontId="11" fillId="0" borderId="0" xfId="0" applyFont="1" applyFill="1" applyAlignment="1">
      <alignment horizontal="center"/>
    </xf>
    <xf numFmtId="0" fontId="24" fillId="0" borderId="0" xfId="0" applyFont="1" applyFill="1"/>
    <xf numFmtId="1" fontId="11" fillId="0" borderId="5" xfId="0" applyNumberFormat="1" applyFont="1" applyFill="1" applyBorder="1" applyAlignment="1">
      <alignment horizontal="center" vertical="center"/>
    </xf>
    <xf numFmtId="1" fontId="11" fillId="0" borderId="8" xfId="0" applyNumberFormat="1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/>
    </xf>
    <xf numFmtId="1" fontId="11" fillId="0" borderId="19" xfId="0" applyNumberFormat="1" applyFont="1" applyFill="1" applyBorder="1" applyAlignment="1">
      <alignment horizontal="center" vertical="center"/>
    </xf>
    <xf numFmtId="0" fontId="17" fillId="0" borderId="5" xfId="0" applyFont="1" applyFill="1" applyBorder="1"/>
    <xf numFmtId="0" fontId="7" fillId="2" borderId="1" xfId="0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5" fillId="2" borderId="1" xfId="0" applyNumberFormat="1" applyFont="1" applyFill="1" applyBorder="1" applyAlignment="1" applyProtection="1">
      <alignment vertical="center" wrapText="1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 applyProtection="1">
      <alignment horizontal="right" vertical="center" wrapText="1" shrinkToFit="1"/>
    </xf>
    <xf numFmtId="0" fontId="6" fillId="0" borderId="2" xfId="0" applyFont="1" applyFill="1" applyBorder="1" applyAlignment="1" applyProtection="1">
      <alignment horizontal="right" vertical="center" wrapText="1" shrinkToFit="1"/>
    </xf>
    <xf numFmtId="165" fontId="6" fillId="0" borderId="1" xfId="0" applyNumberFormat="1" applyFont="1" applyFill="1" applyBorder="1" applyAlignment="1" applyProtection="1">
      <alignment horizontal="right" vertical="center" wrapText="1" shrinkToFi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7" fillId="0" borderId="1" xfId="0" applyNumberFormat="1" applyFont="1" applyBorder="1" applyAlignment="1">
      <alignment horizontal="right" vertical="center"/>
    </xf>
    <xf numFmtId="165" fontId="6" fillId="0" borderId="2" xfId="0" applyNumberFormat="1" applyFont="1" applyFill="1" applyBorder="1" applyAlignment="1" applyProtection="1">
      <alignment horizontal="right" vertical="center" wrapText="1"/>
    </xf>
    <xf numFmtId="164" fontId="5" fillId="2" borderId="1" xfId="0" applyNumberFormat="1" applyFont="1" applyFill="1" applyBorder="1" applyAlignment="1" applyProtection="1">
      <alignment vertical="center" wrapText="1"/>
    </xf>
    <xf numFmtId="164" fontId="5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Border="1" applyAlignment="1">
      <alignment vertical="center" wrapText="1"/>
    </xf>
    <xf numFmtId="165" fontId="6" fillId="0" borderId="1" xfId="0" applyNumberFormat="1" applyFont="1" applyFill="1" applyBorder="1" applyAlignment="1" applyProtection="1">
      <alignment vertical="center" wrapText="1" shrinkToFi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top" wrapText="1" shrinkToFit="1"/>
    </xf>
    <xf numFmtId="4" fontId="7" fillId="0" borderId="1" xfId="0" applyNumberFormat="1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 applyProtection="1">
      <alignment vertical="center" wrapText="1"/>
    </xf>
    <xf numFmtId="164" fontId="5" fillId="0" borderId="1" xfId="0" applyNumberFormat="1" applyFont="1" applyFill="1" applyBorder="1" applyAlignment="1" applyProtection="1">
      <alignment horizontal="right" vertical="center"/>
    </xf>
    <xf numFmtId="164" fontId="7" fillId="2" borderId="1" xfId="0" applyNumberFormat="1" applyFont="1" applyFill="1" applyBorder="1" applyAlignment="1" applyProtection="1">
      <alignment horizontal="right" vertical="center" wrapText="1"/>
    </xf>
    <xf numFmtId="164" fontId="7" fillId="0" borderId="1" xfId="0" applyNumberFormat="1" applyFont="1" applyFill="1" applyBorder="1" applyAlignment="1" applyProtection="1">
      <alignment horizontal="right" vertical="center"/>
    </xf>
    <xf numFmtId="164" fontId="7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0" xfId="2"/>
    <xf numFmtId="0" fontId="15" fillId="0" borderId="0" xfId="1" applyFont="1"/>
    <xf numFmtId="166" fontId="34" fillId="0" borderId="24" xfId="4" applyFont="1" applyBorder="1" applyAlignment="1" applyProtection="1">
      <alignment horizontal="center" vertical="center" wrapText="1"/>
      <protection locked="0"/>
    </xf>
    <xf numFmtId="166" fontId="34" fillId="0" borderId="25" xfId="4" applyFont="1" applyBorder="1" applyAlignment="1" applyProtection="1">
      <alignment horizontal="center" vertical="center" wrapText="1"/>
      <protection locked="0"/>
    </xf>
    <xf numFmtId="166" fontId="34" fillId="0" borderId="26" xfId="4" applyFont="1" applyBorder="1" applyAlignment="1" applyProtection="1">
      <alignment horizontal="center" vertical="center" wrapText="1"/>
      <protection locked="0"/>
    </xf>
    <xf numFmtId="0" fontId="16" fillId="0" borderId="28" xfId="2" applyFont="1" applyBorder="1" applyAlignment="1">
      <alignment horizontal="center"/>
    </xf>
    <xf numFmtId="0" fontId="16" fillId="0" borderId="29" xfId="2" applyFont="1" applyBorder="1" applyAlignment="1">
      <alignment horizontal="center"/>
    </xf>
    <xf numFmtId="0" fontId="37" fillId="5" borderId="31" xfId="1" applyFont="1" applyFill="1" applyBorder="1" applyAlignment="1">
      <alignment horizontal="left" vertical="center" wrapText="1" indent="2"/>
    </xf>
    <xf numFmtId="1" fontId="38" fillId="5" borderId="32" xfId="1" applyNumberFormat="1" applyFont="1" applyFill="1" applyBorder="1" applyAlignment="1">
      <alignment horizontal="center" vertical="center"/>
    </xf>
    <xf numFmtId="1" fontId="38" fillId="5" borderId="33" xfId="1" applyNumberFormat="1" applyFont="1" applyFill="1" applyBorder="1" applyAlignment="1">
      <alignment horizontal="center" vertical="center"/>
    </xf>
    <xf numFmtId="0" fontId="37" fillId="5" borderId="34" xfId="1" applyFont="1" applyFill="1" applyBorder="1"/>
    <xf numFmtId="166" fontId="34" fillId="0" borderId="35" xfId="4" applyFont="1" applyBorder="1" applyAlignment="1">
      <alignment vertical="center"/>
    </xf>
    <xf numFmtId="167" fontId="16" fillId="0" borderId="36" xfId="4" applyNumberFormat="1" applyFont="1" applyBorder="1" applyAlignment="1">
      <alignment horizontal="center" vertical="center"/>
    </xf>
    <xf numFmtId="167" fontId="16" fillId="0" borderId="4" xfId="4" applyNumberFormat="1" applyFont="1" applyBorder="1" applyAlignment="1">
      <alignment horizontal="center" vertical="center"/>
    </xf>
    <xf numFmtId="167" fontId="16" fillId="0" borderId="37" xfId="4" applyNumberFormat="1" applyFont="1" applyBorder="1" applyAlignment="1">
      <alignment horizontal="center" vertical="center"/>
    </xf>
    <xf numFmtId="166" fontId="33" fillId="0" borderId="35" xfId="4" applyFont="1" applyBorder="1" applyAlignment="1">
      <alignment vertical="center"/>
    </xf>
    <xf numFmtId="167" fontId="39" fillId="0" borderId="36" xfId="4" applyNumberFormat="1" applyFont="1" applyBorder="1" applyAlignment="1">
      <alignment horizontal="center" vertical="center"/>
    </xf>
    <xf numFmtId="167" fontId="39" fillId="0" borderId="4" xfId="4" applyNumberFormat="1" applyFont="1" applyBorder="1" applyAlignment="1">
      <alignment horizontal="center" vertical="center"/>
    </xf>
    <xf numFmtId="167" fontId="39" fillId="0" borderId="37" xfId="4" applyNumberFormat="1" applyFont="1" applyBorder="1" applyAlignment="1">
      <alignment horizontal="center" vertical="center"/>
    </xf>
    <xf numFmtId="166" fontId="40" fillId="0" borderId="35" xfId="4" applyFont="1" applyBorder="1" applyAlignment="1">
      <alignment vertical="center" wrapText="1"/>
    </xf>
    <xf numFmtId="0" fontId="37" fillId="5" borderId="38" xfId="1" applyFont="1" applyFill="1" applyBorder="1" applyAlignment="1">
      <alignment horizontal="left" vertical="center" wrapText="1" indent="2"/>
    </xf>
    <xf numFmtId="1" fontId="39" fillId="5" borderId="39" xfId="1" applyNumberFormat="1" applyFont="1" applyFill="1" applyBorder="1" applyAlignment="1">
      <alignment horizontal="center" vertical="center"/>
    </xf>
    <xf numFmtId="1" fontId="39" fillId="5" borderId="7" xfId="1" applyNumberFormat="1" applyFont="1" applyFill="1" applyBorder="1" applyAlignment="1">
      <alignment horizontal="center" vertical="center"/>
    </xf>
    <xf numFmtId="0" fontId="16" fillId="5" borderId="40" xfId="1" applyFont="1" applyFill="1" applyBorder="1"/>
    <xf numFmtId="166" fontId="33" fillId="4" borderId="41" xfId="4" applyFont="1" applyFill="1" applyBorder="1" applyAlignment="1">
      <alignment vertical="center"/>
    </xf>
    <xf numFmtId="0" fontId="2" fillId="4" borderId="0" xfId="2" applyFill="1"/>
    <xf numFmtId="166" fontId="33" fillId="4" borderId="35" xfId="4" applyFont="1" applyFill="1" applyBorder="1" applyAlignment="1">
      <alignment vertical="center"/>
    </xf>
    <xf numFmtId="167" fontId="39" fillId="0" borderId="3" xfId="4" applyNumberFormat="1" applyFont="1" applyBorder="1" applyAlignment="1">
      <alignment horizontal="center" vertical="center"/>
    </xf>
    <xf numFmtId="167" fontId="39" fillId="0" borderId="42" xfId="4" applyNumberFormat="1" applyFont="1" applyBorder="1" applyAlignment="1">
      <alignment horizontal="center" vertical="center"/>
    </xf>
    <xf numFmtId="167" fontId="39" fillId="0" borderId="17" xfId="4" applyNumberFormat="1" applyFont="1" applyBorder="1" applyAlignment="1">
      <alignment horizontal="center" vertical="center"/>
    </xf>
    <xf numFmtId="0" fontId="37" fillId="5" borderId="41" xfId="1" applyFont="1" applyFill="1" applyBorder="1" applyAlignment="1">
      <alignment horizontal="left" vertical="center" wrapText="1" indent="2"/>
    </xf>
    <xf numFmtId="1" fontId="39" fillId="5" borderId="43" xfId="1" applyNumberFormat="1" applyFont="1" applyFill="1" applyBorder="1" applyAlignment="1">
      <alignment horizontal="center" vertical="center"/>
    </xf>
    <xf numFmtId="1" fontId="39" fillId="5" borderId="44" xfId="1" applyNumberFormat="1" applyFont="1" applyFill="1" applyBorder="1" applyAlignment="1">
      <alignment horizontal="center" vertical="center"/>
    </xf>
    <xf numFmtId="0" fontId="16" fillId="5" borderId="45" xfId="1" applyFont="1" applyFill="1" applyBorder="1"/>
    <xf numFmtId="0" fontId="38" fillId="5" borderId="38" xfId="1" applyFont="1" applyFill="1" applyBorder="1" applyAlignment="1">
      <alignment horizontal="left" vertical="center" wrapText="1" indent="2"/>
    </xf>
    <xf numFmtId="0" fontId="39" fillId="5" borderId="40" xfId="1" applyFont="1" applyFill="1" applyBorder="1"/>
    <xf numFmtId="166" fontId="33" fillId="0" borderId="27" xfId="4" applyFont="1" applyBorder="1" applyAlignment="1">
      <alignment vertical="center"/>
    </xf>
    <xf numFmtId="167" fontId="39" fillId="0" borderId="46" xfId="4" applyNumberFormat="1" applyFont="1" applyBorder="1" applyAlignment="1">
      <alignment horizontal="center" vertical="center"/>
    </xf>
    <xf numFmtId="167" fontId="39" fillId="0" borderId="47" xfId="4" applyNumberFormat="1" applyFont="1" applyBorder="1" applyAlignment="1">
      <alignment horizontal="center" vertical="center"/>
    </xf>
    <xf numFmtId="167" fontId="39" fillId="0" borderId="48" xfId="4" applyNumberFormat="1" applyFont="1" applyBorder="1" applyAlignment="1">
      <alignment horizontal="center" vertical="center"/>
    </xf>
    <xf numFmtId="0" fontId="38" fillId="5" borderId="31" xfId="1" applyFont="1" applyFill="1" applyBorder="1" applyAlignment="1">
      <alignment horizontal="left" vertical="center" wrapText="1" indent="2"/>
    </xf>
    <xf numFmtId="1" fontId="39" fillId="5" borderId="32" xfId="1" applyNumberFormat="1" applyFont="1" applyFill="1" applyBorder="1" applyAlignment="1">
      <alignment horizontal="center" vertical="center"/>
    </xf>
    <xf numFmtId="1" fontId="39" fillId="5" borderId="33" xfId="1" applyNumberFormat="1" applyFont="1" applyFill="1" applyBorder="1" applyAlignment="1">
      <alignment horizontal="center" vertical="center"/>
    </xf>
    <xf numFmtId="0" fontId="39" fillId="5" borderId="34" xfId="1" applyFont="1" applyFill="1" applyBorder="1"/>
    <xf numFmtId="166" fontId="33" fillId="0" borderId="41" xfId="4" applyFont="1" applyBorder="1" applyAlignment="1">
      <alignment vertical="center"/>
    </xf>
    <xf numFmtId="1" fontId="16" fillId="5" borderId="43" xfId="1" applyNumberFormat="1" applyFont="1" applyFill="1" applyBorder="1" applyAlignment="1">
      <alignment horizontal="center" vertical="center"/>
    </xf>
    <xf numFmtId="1" fontId="16" fillId="5" borderId="44" xfId="1" applyNumberFormat="1" applyFont="1" applyFill="1" applyBorder="1" applyAlignment="1">
      <alignment horizontal="center" vertical="center"/>
    </xf>
    <xf numFmtId="0" fontId="38" fillId="5" borderId="41" xfId="1" applyFont="1" applyFill="1" applyBorder="1" applyAlignment="1">
      <alignment horizontal="left" vertical="center" wrapText="1" indent="2"/>
    </xf>
    <xf numFmtId="0" fontId="39" fillId="5" borderId="45" xfId="1" applyFont="1" applyFill="1" applyBorder="1"/>
    <xf numFmtId="167" fontId="16" fillId="0" borderId="3" xfId="4" applyNumberFormat="1" applyFont="1" applyBorder="1" applyAlignment="1">
      <alignment horizontal="center" vertical="center"/>
    </xf>
    <xf numFmtId="167" fontId="16" fillId="0" borderId="42" xfId="4" applyNumberFormat="1" applyFont="1" applyBorder="1" applyAlignment="1">
      <alignment horizontal="center" vertical="center"/>
    </xf>
    <xf numFmtId="1" fontId="16" fillId="5" borderId="39" xfId="1" applyNumberFormat="1" applyFont="1" applyFill="1" applyBorder="1" applyAlignment="1">
      <alignment horizontal="center" vertical="center"/>
    </xf>
    <xf numFmtId="1" fontId="16" fillId="5" borderId="7" xfId="1" applyNumberFormat="1" applyFont="1" applyFill="1" applyBorder="1" applyAlignment="1">
      <alignment horizontal="center" vertical="center"/>
    </xf>
    <xf numFmtId="1" fontId="16" fillId="5" borderId="32" xfId="1" applyNumberFormat="1" applyFont="1" applyFill="1" applyBorder="1" applyAlignment="1">
      <alignment horizontal="center" vertical="center"/>
    </xf>
    <xf numFmtId="1" fontId="16" fillId="5" borderId="33" xfId="1" applyNumberFormat="1" applyFont="1" applyFill="1" applyBorder="1" applyAlignment="1">
      <alignment horizontal="center" vertical="center"/>
    </xf>
    <xf numFmtId="0" fontId="16" fillId="5" borderId="34" xfId="1" applyFont="1" applyFill="1" applyBorder="1"/>
    <xf numFmtId="167" fontId="42" fillId="0" borderId="36" xfId="4" applyNumberFormat="1" applyFont="1" applyBorder="1" applyAlignment="1">
      <alignment horizontal="center" vertical="center"/>
    </xf>
    <xf numFmtId="166" fontId="33" fillId="0" borderId="41" xfId="4" applyFont="1" applyBorder="1" applyAlignment="1">
      <alignment vertical="center" wrapText="1"/>
    </xf>
    <xf numFmtId="1" fontId="37" fillId="5" borderId="39" xfId="1" applyNumberFormat="1" applyFont="1" applyFill="1" applyBorder="1" applyAlignment="1">
      <alignment horizontal="center" vertical="center"/>
    </xf>
    <xf numFmtId="1" fontId="37" fillId="5" borderId="7" xfId="1" applyNumberFormat="1" applyFont="1" applyFill="1" applyBorder="1" applyAlignment="1">
      <alignment horizontal="center" vertical="center"/>
    </xf>
    <xf numFmtId="0" fontId="37" fillId="5" borderId="40" xfId="1" applyFont="1" applyFill="1" applyBorder="1"/>
    <xf numFmtId="166" fontId="39" fillId="0" borderId="35" xfId="4" applyFont="1" applyBorder="1" applyAlignment="1">
      <alignment vertical="center"/>
    </xf>
    <xf numFmtId="166" fontId="39" fillId="0" borderId="41" xfId="4" applyFont="1" applyBorder="1" applyAlignment="1">
      <alignment vertical="center" wrapText="1"/>
    </xf>
    <xf numFmtId="1" fontId="37" fillId="5" borderId="43" xfId="1" applyNumberFormat="1" applyFont="1" applyFill="1" applyBorder="1" applyAlignment="1">
      <alignment horizontal="center" vertical="center"/>
    </xf>
    <xf numFmtId="1" fontId="37" fillId="5" borderId="44" xfId="1" applyNumberFormat="1" applyFont="1" applyFill="1" applyBorder="1" applyAlignment="1">
      <alignment horizontal="center" vertical="center"/>
    </xf>
    <xf numFmtId="0" fontId="37" fillId="5" borderId="45" xfId="1" applyFont="1" applyFill="1" applyBorder="1"/>
    <xf numFmtId="0" fontId="46" fillId="0" borderId="0" xfId="2" applyFont="1" applyAlignment="1">
      <alignment horizontal="left"/>
    </xf>
    <xf numFmtId="167" fontId="39" fillId="0" borderId="0" xfId="4" applyNumberFormat="1" applyFont="1" applyAlignment="1">
      <alignment horizontal="center" vertical="center"/>
    </xf>
    <xf numFmtId="0" fontId="15" fillId="0" borderId="0" xfId="2" applyFont="1" applyAlignment="1">
      <alignment horizontal="left"/>
    </xf>
    <xf numFmtId="0" fontId="49" fillId="0" borderId="0" xfId="2" applyFont="1"/>
    <xf numFmtId="0" fontId="49" fillId="0" borderId="0" xfId="2" applyFont="1" applyAlignment="1">
      <alignment horizontal="left" wrapText="1"/>
    </xf>
    <xf numFmtId="168" fontId="49" fillId="0" borderId="0" xfId="2" applyNumberFormat="1" applyFont="1"/>
    <xf numFmtId="164" fontId="5" fillId="0" borderId="1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 applyProtection="1">
      <alignment vertical="center" wrapText="1"/>
    </xf>
    <xf numFmtId="164" fontId="27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164" fontId="5" fillId="0" borderId="3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164" fontId="6" fillId="0" borderId="1" xfId="0" applyNumberFormat="1" applyFont="1" applyFill="1" applyBorder="1" applyAlignment="1" applyProtection="1">
      <alignment vertical="center" wrapText="1" shrinkToFit="1"/>
    </xf>
    <xf numFmtId="3" fontId="6" fillId="0" borderId="1" xfId="0" applyNumberFormat="1" applyFont="1" applyFill="1" applyBorder="1" applyAlignment="1" applyProtection="1">
      <alignment vertical="center" wrapText="1" shrinkToFit="1"/>
    </xf>
    <xf numFmtId="165" fontId="5" fillId="0" borderId="5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" fontId="20" fillId="0" borderId="10" xfId="0" applyNumberFormat="1" applyFont="1" applyFill="1" applyBorder="1" applyAlignment="1">
      <alignment horizontal="center"/>
    </xf>
    <xf numFmtId="0" fontId="23" fillId="0" borderId="46" xfId="0" applyFont="1" applyFill="1" applyBorder="1"/>
    <xf numFmtId="165" fontId="23" fillId="0" borderId="47" xfId="0" applyNumberFormat="1" applyFont="1" applyFill="1" applyBorder="1" applyAlignment="1">
      <alignment horizontal="center"/>
    </xf>
    <xf numFmtId="2" fontId="23" fillId="0" borderId="49" xfId="0" applyNumberFormat="1" applyFont="1" applyFill="1" applyBorder="1" applyAlignment="1">
      <alignment horizontal="center"/>
    </xf>
    <xf numFmtId="165" fontId="23" fillId="0" borderId="46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0" fontId="27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6" fillId="0" borderId="0" xfId="2" applyFont="1" applyAlignment="1">
      <alignment horizontal="left" wrapText="1"/>
    </xf>
    <xf numFmtId="0" fontId="49" fillId="0" borderId="0" xfId="2" applyFont="1" applyAlignment="1">
      <alignment horizontal="left" wrapText="1"/>
    </xf>
    <xf numFmtId="0" fontId="28" fillId="5" borderId="0" xfId="1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8" fillId="0" borderId="0" xfId="1" applyFont="1" applyAlignment="1">
      <alignment horizontal="center" vertical="center" wrapText="1"/>
    </xf>
    <xf numFmtId="0" fontId="31" fillId="0" borderId="22" xfId="3" applyFont="1" applyBorder="1" applyAlignment="1">
      <alignment horizontal="right" indent="1"/>
    </xf>
    <xf numFmtId="166" fontId="33" fillId="0" borderId="23" xfId="4" applyFont="1" applyBorder="1" applyAlignment="1" applyProtection="1">
      <alignment horizontal="center" vertical="center"/>
      <protection locked="0"/>
    </xf>
    <xf numFmtId="166" fontId="33" fillId="0" borderId="27" xfId="4" applyFont="1" applyBorder="1" applyAlignment="1" applyProtection="1">
      <alignment horizontal="center" vertical="center"/>
      <protection locked="0"/>
    </xf>
    <xf numFmtId="0" fontId="36" fillId="0" borderId="29" xfId="2" applyFont="1" applyBorder="1" applyAlignment="1">
      <alignment horizontal="center"/>
    </xf>
    <xf numFmtId="0" fontId="36" fillId="0" borderId="30" xfId="2" applyFont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>
      <alignment vertical="center"/>
    </xf>
    <xf numFmtId="165" fontId="20" fillId="0" borderId="1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 vertical="center"/>
    </xf>
    <xf numFmtId="165" fontId="15" fillId="0" borderId="3" xfId="0" applyNumberFormat="1" applyFont="1" applyFill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/>
    <xf numFmtId="0" fontId="21" fillId="0" borderId="2" xfId="0" applyFont="1" applyFill="1" applyBorder="1" applyAlignment="1">
      <alignment horizontal="center" vertical="center" wrapText="1"/>
    </xf>
    <xf numFmtId="165" fontId="21" fillId="0" borderId="2" xfId="0" applyNumberFormat="1" applyFont="1" applyFill="1" applyBorder="1"/>
    <xf numFmtId="165" fontId="21" fillId="0" borderId="2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5" fontId="15" fillId="0" borderId="2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2" fontId="17" fillId="0" borderId="5" xfId="0" applyNumberFormat="1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 vertical="center"/>
    </xf>
    <xf numFmtId="1" fontId="20" fillId="0" borderId="13" xfId="0" applyNumberFormat="1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horizontal="center"/>
    </xf>
    <xf numFmtId="1" fontId="23" fillId="0" borderId="12" xfId="0" applyNumberFormat="1" applyFont="1" applyFill="1" applyBorder="1" applyAlignment="1">
      <alignment horizontal="center"/>
    </xf>
    <xf numFmtId="1" fontId="23" fillId="0" borderId="13" xfId="0" applyNumberFormat="1" applyFont="1" applyFill="1" applyBorder="1" applyAlignment="1">
      <alignment horizontal="center"/>
    </xf>
    <xf numFmtId="0" fontId="23" fillId="0" borderId="13" xfId="0" applyFont="1" applyFill="1" applyBorder="1"/>
    <xf numFmtId="0" fontId="17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4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/>
    <xf numFmtId="0" fontId="23" fillId="0" borderId="10" xfId="0" applyFont="1" applyFill="1" applyBorder="1"/>
    <xf numFmtId="165" fontId="23" fillId="0" borderId="11" xfId="0" applyNumberFormat="1" applyFont="1" applyFill="1" applyBorder="1" applyAlignment="1">
      <alignment horizontal="center"/>
    </xf>
    <xf numFmtId="2" fontId="23" fillId="0" borderId="15" xfId="0" applyNumberFormat="1" applyFont="1" applyFill="1" applyBorder="1" applyAlignment="1">
      <alignment horizontal="center"/>
    </xf>
    <xf numFmtId="165" fontId="23" fillId="0" borderId="10" xfId="0" applyNumberFormat="1" applyFont="1" applyFill="1" applyBorder="1" applyAlignment="1">
      <alignment horizontal="center"/>
    </xf>
    <xf numFmtId="165" fontId="23" fillId="0" borderId="12" xfId="0" applyNumberFormat="1" applyFont="1" applyFill="1" applyBorder="1" applyAlignment="1">
      <alignment horizontal="center"/>
    </xf>
    <xf numFmtId="165" fontId="23" fillId="0" borderId="13" xfId="0" applyNumberFormat="1" applyFont="1" applyFill="1" applyBorder="1" applyAlignment="1">
      <alignment horizontal="center"/>
    </xf>
  </cellXfs>
  <cellStyles count="6">
    <cellStyle name="Обычный" xfId="0" builtinId="0"/>
    <cellStyle name="Обычный 100" xfId="1" xr:uid="{77AD673D-0770-44CB-AA40-6D1C88822824}"/>
    <cellStyle name="Обычный 140 3 2" xfId="2" xr:uid="{5FA75F6C-E574-45ED-AF52-8E6E701D3C6A}"/>
    <cellStyle name="Обычный 2" xfId="5" xr:uid="{CE300DCA-6589-4184-B109-089FAAB8E7C5}"/>
    <cellStyle name="Обычный 2 3" xfId="3" xr:uid="{98F22BF2-4949-4C0F-B3DB-9002EC9EF61D}"/>
    <cellStyle name="Обычный 25 2" xfId="4" xr:uid="{770CE710-BB5D-4927-AE37-A99F1177EBC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821532</xdr:colOff>
      <xdr:row>0</xdr:row>
      <xdr:rowOff>47625</xdr:rowOff>
    </xdr:from>
    <xdr:to>
      <xdr:col>5</xdr:col>
      <xdr:colOff>611848</xdr:colOff>
      <xdr:row>2</xdr:row>
      <xdr:rowOff>4970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52408D6-F2AF-4B71-A03A-4DC754188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3557" y="47625"/>
          <a:ext cx="657091" cy="690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2"/>
  <sheetViews>
    <sheetView tabSelected="1" zoomScale="130" zoomScaleNormal="130" zoomScaleSheetLayoutView="110" workbookViewId="0">
      <pane xSplit="6" ySplit="17" topLeftCell="G164" activePane="bottomRight" state="frozen"/>
      <selection pane="topRight" activeCell="G1" sqref="G1"/>
      <selection pane="bottomLeft" activeCell="A18" sqref="A18"/>
      <selection pane="bottomRight" activeCell="N164" sqref="N164"/>
    </sheetView>
  </sheetViews>
  <sheetFormatPr defaultRowHeight="12" x14ac:dyDescent="0.2"/>
  <cols>
    <col min="1" max="1" width="52.7109375" style="73" customWidth="1"/>
    <col min="2" max="2" width="14.5703125" style="4" customWidth="1"/>
    <col min="3" max="3" width="8.28515625" style="4" customWidth="1"/>
    <col min="4" max="4" width="8.28515625" style="5" customWidth="1"/>
    <col min="5" max="5" width="8.7109375" style="5" customWidth="1"/>
    <col min="6" max="6" width="9" style="5" customWidth="1"/>
    <col min="7" max="7" width="7.7109375" style="5" customWidth="1"/>
    <col min="8" max="8" width="9.28515625" style="5" customWidth="1"/>
    <col min="9" max="9" width="8.28515625" style="5" customWidth="1"/>
    <col min="10" max="10" width="9.140625" style="5" customWidth="1"/>
    <col min="11" max="11" width="7.85546875" style="5" customWidth="1"/>
    <col min="12" max="19" width="9.140625" style="62"/>
    <col min="20" max="16384" width="9.140625" style="63"/>
  </cols>
  <sheetData>
    <row r="1" spans="1:19" s="57" customFormat="1" x14ac:dyDescent="0.2">
      <c r="A1" s="313" t="s">
        <v>159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56"/>
      <c r="M1" s="56"/>
      <c r="N1" s="56"/>
      <c r="O1" s="56"/>
      <c r="P1" s="56"/>
      <c r="Q1" s="56"/>
      <c r="R1" s="56"/>
      <c r="S1" s="56"/>
    </row>
    <row r="2" spans="1:19" s="57" customFormat="1" x14ac:dyDescent="0.2">
      <c r="A2" s="313" t="s">
        <v>156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56"/>
      <c r="M2" s="56"/>
      <c r="N2" s="56"/>
      <c r="O2" s="56"/>
      <c r="P2" s="56"/>
      <c r="Q2" s="56"/>
      <c r="R2" s="56"/>
      <c r="S2" s="56"/>
    </row>
    <row r="3" spans="1:19" s="59" customFormat="1" x14ac:dyDescent="0.2">
      <c r="A3" s="318" t="s">
        <v>0</v>
      </c>
      <c r="B3" s="318" t="s">
        <v>1</v>
      </c>
      <c r="C3" s="314" t="s">
        <v>46</v>
      </c>
      <c r="D3" s="315"/>
      <c r="E3" s="55" t="s">
        <v>54</v>
      </c>
      <c r="F3" s="314" t="s">
        <v>37</v>
      </c>
      <c r="G3" s="316"/>
      <c r="H3" s="316"/>
      <c r="I3" s="316"/>
      <c r="J3" s="316"/>
      <c r="K3" s="316"/>
      <c r="L3" s="58"/>
      <c r="M3" s="58"/>
      <c r="N3" s="58"/>
      <c r="O3" s="58"/>
      <c r="P3" s="58"/>
      <c r="Q3" s="58"/>
      <c r="R3" s="58"/>
      <c r="S3" s="58"/>
    </row>
    <row r="4" spans="1:19" s="59" customFormat="1" ht="21" customHeight="1" x14ac:dyDescent="0.2">
      <c r="A4" s="319"/>
      <c r="B4" s="319"/>
      <c r="C4" s="318" t="s">
        <v>152</v>
      </c>
      <c r="D4" s="317" t="s">
        <v>154</v>
      </c>
      <c r="E4" s="317" t="s">
        <v>157</v>
      </c>
      <c r="F4" s="317" t="s">
        <v>153</v>
      </c>
      <c r="G4" s="317"/>
      <c r="H4" s="317" t="s">
        <v>155</v>
      </c>
      <c r="I4" s="317"/>
      <c r="J4" s="317" t="s">
        <v>158</v>
      </c>
      <c r="K4" s="317"/>
      <c r="L4" s="58"/>
      <c r="M4" s="58"/>
      <c r="N4" s="58"/>
      <c r="O4" s="58"/>
      <c r="P4" s="58"/>
      <c r="Q4" s="58"/>
      <c r="R4" s="58"/>
      <c r="S4" s="58"/>
    </row>
    <row r="5" spans="1:19" s="59" customFormat="1" x14ac:dyDescent="0.2">
      <c r="A5" s="320"/>
      <c r="B5" s="320"/>
      <c r="C5" s="320"/>
      <c r="D5" s="317"/>
      <c r="E5" s="317"/>
      <c r="F5" s="204" t="s">
        <v>144</v>
      </c>
      <c r="G5" s="204" t="s">
        <v>145</v>
      </c>
      <c r="H5" s="204" t="s">
        <v>144</v>
      </c>
      <c r="I5" s="204" t="s">
        <v>145</v>
      </c>
      <c r="J5" s="204" t="s">
        <v>144</v>
      </c>
      <c r="K5" s="204" t="s">
        <v>145</v>
      </c>
      <c r="L5" s="58"/>
      <c r="M5" s="58"/>
      <c r="N5" s="58"/>
      <c r="O5" s="58"/>
      <c r="P5" s="58"/>
      <c r="Q5" s="58"/>
      <c r="R5" s="58"/>
      <c r="S5" s="58"/>
    </row>
    <row r="6" spans="1:19" s="59" customFormat="1" x14ac:dyDescent="0.2">
      <c r="A6" s="6" t="s">
        <v>55</v>
      </c>
      <c r="B6" s="54"/>
      <c r="C6" s="7"/>
      <c r="D6" s="7"/>
      <c r="E6" s="7"/>
      <c r="F6" s="7"/>
      <c r="G6" s="7"/>
      <c r="H6" s="8"/>
      <c r="I6" s="8"/>
      <c r="J6" s="8"/>
      <c r="K6" s="8"/>
      <c r="L6" s="58"/>
      <c r="M6" s="58"/>
      <c r="N6" s="58"/>
      <c r="O6" s="58"/>
      <c r="P6" s="58"/>
      <c r="Q6" s="58"/>
      <c r="R6" s="58"/>
      <c r="S6" s="58"/>
    </row>
    <row r="7" spans="1:19" s="61" customFormat="1" x14ac:dyDescent="0.2">
      <c r="A7" s="9" t="s">
        <v>56</v>
      </c>
      <c r="B7" s="10" t="s">
        <v>57</v>
      </c>
      <c r="C7" s="296">
        <v>45.533999999999999</v>
      </c>
      <c r="D7" s="296">
        <f>C7-0.4</f>
        <v>45.134</v>
      </c>
      <c r="E7" s="296">
        <f>D7-0.4</f>
        <v>44.734000000000002</v>
      </c>
      <c r="F7" s="296">
        <f>E7-0.5</f>
        <v>44.234000000000002</v>
      </c>
      <c r="G7" s="296">
        <f>E7-0.4</f>
        <v>44.334000000000003</v>
      </c>
      <c r="H7" s="294">
        <f>F7-0.4</f>
        <v>43.834000000000003</v>
      </c>
      <c r="I7" s="294">
        <f>G7-0.4</f>
        <v>43.934000000000005</v>
      </c>
      <c r="J7" s="294">
        <f>H7-0.4</f>
        <v>43.434000000000005</v>
      </c>
      <c r="K7" s="294">
        <f>I7-0.4</f>
        <v>43.534000000000006</v>
      </c>
      <c r="L7" s="60"/>
      <c r="M7" s="60"/>
      <c r="N7" s="60"/>
      <c r="O7" s="60"/>
      <c r="P7" s="60"/>
      <c r="Q7" s="60"/>
      <c r="R7" s="60"/>
      <c r="S7" s="60"/>
    </row>
    <row r="8" spans="1:19" s="61" customFormat="1" x14ac:dyDescent="0.2">
      <c r="A8" s="10"/>
      <c r="B8" s="10" t="s">
        <v>35</v>
      </c>
      <c r="C8" s="296"/>
      <c r="D8" s="296">
        <f>D7/C7*100</f>
        <v>99.121535555848382</v>
      </c>
      <c r="E8" s="296">
        <f>E7/D7*100</f>
        <v>99.11375016617184</v>
      </c>
      <c r="F8" s="296">
        <f>F7/E7*100</f>
        <v>98.882281933205178</v>
      </c>
      <c r="G8" s="296">
        <f>G7/E7*100</f>
        <v>99.105825546564148</v>
      </c>
      <c r="H8" s="294">
        <f>H7/F7*100</f>
        <v>99.095718225799175</v>
      </c>
      <c r="I8" s="294">
        <f>I7/G7*100</f>
        <v>99.097757928452211</v>
      </c>
      <c r="J8" s="294">
        <f>J7/H7*100</f>
        <v>99.087466350321677</v>
      </c>
      <c r="K8" s="294">
        <f>K7/I7*100</f>
        <v>99.089543406018123</v>
      </c>
      <c r="L8" s="60"/>
      <c r="M8" s="60"/>
      <c r="N8" s="60"/>
      <c r="O8" s="60"/>
      <c r="P8" s="60"/>
      <c r="Q8" s="60"/>
      <c r="R8" s="60"/>
      <c r="S8" s="60"/>
    </row>
    <row r="9" spans="1:19" s="61" customFormat="1" x14ac:dyDescent="0.2">
      <c r="A9" s="12" t="s">
        <v>90</v>
      </c>
      <c r="B9" s="10" t="s">
        <v>57</v>
      </c>
      <c r="C9" s="296">
        <v>26.22</v>
      </c>
      <c r="D9" s="296">
        <f>D7*57.6%</f>
        <v>25.997184000000004</v>
      </c>
      <c r="E9" s="296">
        <f>E7*57.6%</f>
        <v>25.766784000000005</v>
      </c>
      <c r="F9" s="296">
        <f>F7*57.6%</f>
        <v>25.478784000000005</v>
      </c>
      <c r="G9" s="296">
        <f>G7*57.6%</f>
        <v>25.536384000000005</v>
      </c>
      <c r="H9" s="296">
        <f>H7*57.6%</f>
        <v>25.248384000000005</v>
      </c>
      <c r="I9" s="296">
        <f>I7*57.6%</f>
        <v>25.305984000000006</v>
      </c>
      <c r="J9" s="296">
        <f>J7*57.6%</f>
        <v>25.017984000000006</v>
      </c>
      <c r="K9" s="296">
        <f>K7*57.6%</f>
        <v>25.075584000000006</v>
      </c>
      <c r="L9" s="60"/>
      <c r="M9" s="60"/>
      <c r="N9" s="60"/>
      <c r="O9" s="60"/>
      <c r="P9" s="60"/>
      <c r="Q9" s="60"/>
      <c r="R9" s="60"/>
      <c r="S9" s="60"/>
    </row>
    <row r="10" spans="1:19" s="61" customFormat="1" ht="24" x14ac:dyDescent="0.2">
      <c r="A10" s="9"/>
      <c r="B10" s="13" t="s">
        <v>49</v>
      </c>
      <c r="C10" s="296"/>
      <c r="D10" s="296">
        <f>D9/C9*100</f>
        <v>99.150205949656765</v>
      </c>
      <c r="E10" s="296">
        <f t="shared" ref="E10:F10" si="0">E9/D9*100</f>
        <v>99.11375016617184</v>
      </c>
      <c r="F10" s="296">
        <f t="shared" si="0"/>
        <v>98.882281933205164</v>
      </c>
      <c r="G10" s="296">
        <f>G9/E9*100</f>
        <v>99.105825546564148</v>
      </c>
      <c r="H10" s="294">
        <f>H9/F9*100</f>
        <v>99.09571822579916</v>
      </c>
      <c r="I10" s="294">
        <f>I9/G9*100</f>
        <v>99.097757928452197</v>
      </c>
      <c r="J10" s="294">
        <f>J9/H9*100</f>
        <v>99.087466350321677</v>
      </c>
      <c r="K10" s="294">
        <f>K9/I9*100</f>
        <v>99.089543406018123</v>
      </c>
      <c r="L10" s="60"/>
      <c r="M10" s="60"/>
      <c r="N10" s="60"/>
      <c r="O10" s="60"/>
      <c r="P10" s="60"/>
      <c r="Q10" s="60"/>
      <c r="R10" s="60"/>
      <c r="S10" s="60"/>
    </row>
    <row r="11" spans="1:19" s="61" customFormat="1" x14ac:dyDescent="0.2">
      <c r="A11" s="12" t="s">
        <v>91</v>
      </c>
      <c r="B11" s="10" t="s">
        <v>57</v>
      </c>
      <c r="C11" s="296">
        <v>19.309999999999999</v>
      </c>
      <c r="D11" s="296">
        <f>D7*42.4%</f>
        <v>19.136816</v>
      </c>
      <c r="E11" s="296">
        <f>E7*42.4%</f>
        <v>18.967216000000001</v>
      </c>
      <c r="F11" s="296">
        <f>F7*42.4%</f>
        <v>18.755216000000001</v>
      </c>
      <c r="G11" s="296">
        <f>G7*42.4%</f>
        <v>18.797616000000001</v>
      </c>
      <c r="H11" s="296">
        <f>H7*42.4%</f>
        <v>18.585616000000002</v>
      </c>
      <c r="I11" s="296">
        <f>I7*42.4%</f>
        <v>18.628016000000002</v>
      </c>
      <c r="J11" s="296">
        <f>J7*42.4%</f>
        <v>18.416016000000003</v>
      </c>
      <c r="K11" s="296">
        <f>K7*42.4%</f>
        <v>18.458416000000003</v>
      </c>
      <c r="L11" s="60"/>
      <c r="M11" s="60"/>
      <c r="N11" s="60"/>
      <c r="O11" s="60"/>
      <c r="P11" s="60"/>
      <c r="Q11" s="60"/>
      <c r="R11" s="60"/>
      <c r="S11" s="60"/>
    </row>
    <row r="12" spans="1:19" s="61" customFormat="1" ht="24" x14ac:dyDescent="0.2">
      <c r="A12" s="14"/>
      <c r="B12" s="13" t="s">
        <v>49</v>
      </c>
      <c r="C12" s="296"/>
      <c r="D12" s="296">
        <f>D11/C11*100</f>
        <v>99.103138270326269</v>
      </c>
      <c r="E12" s="296">
        <f t="shared" ref="E12:F12" si="1">E11/D11*100</f>
        <v>99.11375016617184</v>
      </c>
      <c r="F12" s="296">
        <f t="shared" si="1"/>
        <v>98.882281933205178</v>
      </c>
      <c r="G12" s="296">
        <f>G11/E11*100</f>
        <v>99.105825546564148</v>
      </c>
      <c r="H12" s="294">
        <f>H11/F11*100</f>
        <v>99.095718225799175</v>
      </c>
      <c r="I12" s="294">
        <f>I11/G11*100</f>
        <v>99.097757928452211</v>
      </c>
      <c r="J12" s="294">
        <f>J11/H11*100</f>
        <v>99.087466350321677</v>
      </c>
      <c r="K12" s="294">
        <f>K11/I11*100</f>
        <v>99.089543406018123</v>
      </c>
      <c r="L12" s="60"/>
      <c r="M12" s="60"/>
      <c r="N12" s="60"/>
      <c r="O12" s="60"/>
      <c r="P12" s="60"/>
      <c r="Q12" s="60"/>
      <c r="R12" s="60"/>
      <c r="S12" s="60"/>
    </row>
    <row r="13" spans="1:19" x14ac:dyDescent="0.2">
      <c r="A13" s="15" t="s">
        <v>47</v>
      </c>
      <c r="B13" s="10"/>
      <c r="C13" s="11"/>
      <c r="D13" s="16"/>
      <c r="E13" s="16"/>
      <c r="F13" s="16"/>
      <c r="G13" s="16"/>
      <c r="H13" s="16"/>
      <c r="I13" s="16"/>
      <c r="J13" s="16"/>
      <c r="K13" s="16"/>
    </row>
    <row r="14" spans="1:19" s="69" customFormat="1" x14ac:dyDescent="0.2">
      <c r="A14" s="9" t="s">
        <v>14</v>
      </c>
      <c r="B14" s="10" t="s">
        <v>35</v>
      </c>
      <c r="C14" s="186"/>
      <c r="D14" s="332">
        <v>79.275175542275306</v>
      </c>
      <c r="E14" s="332">
        <v>123.42607855449165</v>
      </c>
      <c r="F14" s="332">
        <v>100.01518708811442</v>
      </c>
      <c r="G14" s="332">
        <v>100.95274125509989</v>
      </c>
      <c r="H14" s="332">
        <v>102.22200260470595</v>
      </c>
      <c r="I14" s="332">
        <v>102.21080334281451</v>
      </c>
      <c r="J14" s="332">
        <v>103.16285086173747</v>
      </c>
      <c r="K14" s="332">
        <v>103.21059884090134</v>
      </c>
      <c r="L14" s="68"/>
      <c r="M14" s="68"/>
      <c r="N14" s="68"/>
      <c r="O14" s="68"/>
      <c r="P14" s="68"/>
      <c r="Q14" s="68"/>
      <c r="R14" s="68"/>
      <c r="S14" s="68"/>
    </row>
    <row r="15" spans="1:19" ht="36" hidden="1" x14ac:dyDescent="0.2">
      <c r="A15" s="9" t="s">
        <v>146</v>
      </c>
      <c r="B15" s="10" t="s">
        <v>38</v>
      </c>
      <c r="C15" s="186"/>
      <c r="D15" s="187"/>
      <c r="E15" s="187"/>
      <c r="F15" s="187"/>
      <c r="G15" s="187"/>
      <c r="H15" s="187"/>
      <c r="I15" s="187"/>
      <c r="J15" s="187"/>
      <c r="K15" s="187"/>
    </row>
    <row r="16" spans="1:19" hidden="1" x14ac:dyDescent="0.2">
      <c r="A16" s="12" t="s">
        <v>15</v>
      </c>
      <c r="B16" s="10" t="s">
        <v>3</v>
      </c>
      <c r="C16" s="186"/>
      <c r="D16" s="187"/>
      <c r="E16" s="187"/>
      <c r="F16" s="187"/>
      <c r="G16" s="187"/>
      <c r="H16" s="187"/>
      <c r="I16" s="187"/>
      <c r="J16" s="187"/>
      <c r="K16" s="187"/>
    </row>
    <row r="17" spans="1:19" hidden="1" x14ac:dyDescent="0.2">
      <c r="A17" s="12" t="s">
        <v>12</v>
      </c>
      <c r="B17" s="10" t="s">
        <v>3</v>
      </c>
      <c r="C17" s="186"/>
      <c r="D17" s="187"/>
      <c r="E17" s="187"/>
      <c r="F17" s="187"/>
      <c r="G17" s="187"/>
      <c r="H17" s="187"/>
      <c r="I17" s="187"/>
      <c r="J17" s="187"/>
      <c r="K17" s="187"/>
    </row>
    <row r="18" spans="1:19" x14ac:dyDescent="0.2">
      <c r="A18" s="211" t="s">
        <v>195</v>
      </c>
      <c r="B18" s="212" t="s">
        <v>39</v>
      </c>
      <c r="C18" s="292">
        <f>C19+C91+C94</f>
        <v>8174.4022899999991</v>
      </c>
      <c r="D18" s="292">
        <f>D19+D91+D94</f>
        <v>6825.670250000001</v>
      </c>
      <c r="E18" s="292">
        <f>E19+E91+E94</f>
        <v>9246.9036599999999</v>
      </c>
      <c r="F18" s="292">
        <f>F19+F91+F94</f>
        <v>9664.4818551999997</v>
      </c>
      <c r="G18" s="292">
        <f>G19+G91+G94</f>
        <v>9777.4818551999997</v>
      </c>
      <c r="H18" s="292">
        <f>H19+H91+H94</f>
        <v>10195.362154354001</v>
      </c>
      <c r="I18" s="292">
        <f>I19+I91+I94</f>
        <v>10340.422154354001</v>
      </c>
      <c r="J18" s="292">
        <f>J19+J91+J94</f>
        <v>10854.39669424177</v>
      </c>
      <c r="K18" s="292">
        <f>K19+K91+K94</f>
        <v>11026.73569424177</v>
      </c>
    </row>
    <row r="19" spans="1:19" ht="36" customHeight="1" x14ac:dyDescent="0.2">
      <c r="A19" s="9" t="s">
        <v>147</v>
      </c>
      <c r="B19" s="10" t="s">
        <v>38</v>
      </c>
      <c r="C19" s="290">
        <f>C25+C28+C34+C40+C46</f>
        <v>6991.2999999999993</v>
      </c>
      <c r="D19" s="290">
        <f>D25+D28+D34+D40+D46</f>
        <v>5579.1272500000014</v>
      </c>
      <c r="E19" s="290">
        <f>E25+E28+E34+E40+E46</f>
        <v>7954.0229000000008</v>
      </c>
      <c r="F19" s="290">
        <f>F25+F28+F34+F40+F46</f>
        <v>8351.2714899999992</v>
      </c>
      <c r="G19" s="290">
        <f>G25+G28+G34+G40+G46</f>
        <v>8444.2714899999992</v>
      </c>
      <c r="H19" s="290">
        <f>H25+H28+H34+H40+H46</f>
        <v>8836.7602157500005</v>
      </c>
      <c r="I19" s="290">
        <f>I25+I28+I34+I40+I46</f>
        <v>8959.82021575</v>
      </c>
      <c r="J19" s="290">
        <f>J25+J28+J34+J40+J46</f>
        <v>9446.7294532250016</v>
      </c>
      <c r="K19" s="290">
        <f>K25+K28+K34+K40+K46</f>
        <v>9596.0684532250016</v>
      </c>
    </row>
    <row r="20" spans="1:19" s="69" customFormat="1" x14ac:dyDescent="0.2">
      <c r="A20" s="12" t="s">
        <v>15</v>
      </c>
      <c r="B20" s="10" t="s">
        <v>3</v>
      </c>
      <c r="C20" s="186"/>
      <c r="D20" s="332">
        <v>76.972089642242452</v>
      </c>
      <c r="E20" s="332">
        <v>130.16459001152128</v>
      </c>
      <c r="F20" s="332">
        <v>100.18541065207629</v>
      </c>
      <c r="G20" s="332">
        <v>101.51114868531612</v>
      </c>
      <c r="H20" s="332">
        <v>101.64587032934949</v>
      </c>
      <c r="I20" s="332">
        <v>102.2597744093014</v>
      </c>
      <c r="J20" s="332">
        <v>103.08836475663301</v>
      </c>
      <c r="K20" s="332">
        <v>103.39338918406922</v>
      </c>
      <c r="L20" s="68"/>
      <c r="M20" s="68"/>
      <c r="N20" s="68"/>
      <c r="O20" s="68"/>
      <c r="P20" s="68"/>
      <c r="Q20" s="68"/>
      <c r="R20" s="68"/>
      <c r="S20" s="68"/>
    </row>
    <row r="21" spans="1:19" x14ac:dyDescent="0.2">
      <c r="A21" s="12" t="s">
        <v>12</v>
      </c>
      <c r="B21" s="10" t="s">
        <v>3</v>
      </c>
      <c r="C21" s="186"/>
      <c r="D21" s="285">
        <f>'Дефлятор базовый'!B35</f>
        <v>103.67524055769573</v>
      </c>
      <c r="E21" s="285">
        <f>'Дефлятор базовый'!C35</f>
        <v>109.52864506296503</v>
      </c>
      <c r="F21" s="285">
        <v>104.8</v>
      </c>
      <c r="G21" s="285">
        <f>'Дефлятор базовый'!D35</f>
        <v>104.58312353323031</v>
      </c>
      <c r="H21" s="285">
        <v>104.1</v>
      </c>
      <c r="I21" s="285">
        <f>'Дефлятор базовый'!E35</f>
        <v>103.76055290270411</v>
      </c>
      <c r="J21" s="285">
        <v>103.7</v>
      </c>
      <c r="K21" s="285">
        <f>'Дефлятор базовый'!F35</f>
        <v>103.58604947958791</v>
      </c>
    </row>
    <row r="22" spans="1:19" s="2" customFormat="1" ht="36" hidden="1" x14ac:dyDescent="0.2">
      <c r="A22" s="17" t="s">
        <v>108</v>
      </c>
      <c r="B22" s="18" t="s">
        <v>39</v>
      </c>
      <c r="C22" s="188"/>
      <c r="D22" s="189"/>
      <c r="E22" s="190"/>
      <c r="F22" s="190"/>
      <c r="G22" s="190"/>
      <c r="H22" s="190"/>
      <c r="I22" s="190"/>
      <c r="J22" s="190"/>
      <c r="K22" s="190"/>
      <c r="L22" s="64"/>
      <c r="M22" s="64"/>
      <c r="N22" s="64"/>
      <c r="O22" s="64"/>
      <c r="P22" s="64"/>
      <c r="Q22" s="64"/>
      <c r="R22" s="3"/>
      <c r="S22" s="3"/>
    </row>
    <row r="23" spans="1:19" s="2" customFormat="1" hidden="1" x14ac:dyDescent="0.2">
      <c r="A23" s="12" t="s">
        <v>15</v>
      </c>
      <c r="B23" s="18" t="s">
        <v>41</v>
      </c>
      <c r="C23" s="188"/>
      <c r="D23" s="189"/>
      <c r="E23" s="190"/>
      <c r="F23" s="190"/>
      <c r="G23" s="190"/>
      <c r="H23" s="190"/>
      <c r="I23" s="190"/>
      <c r="J23" s="190"/>
      <c r="K23" s="190"/>
      <c r="L23" s="64"/>
      <c r="M23" s="64"/>
      <c r="N23" s="64"/>
      <c r="O23" s="64"/>
      <c r="P23" s="64"/>
      <c r="Q23" s="64"/>
      <c r="R23" s="3"/>
      <c r="S23" s="3"/>
    </row>
    <row r="24" spans="1:19" s="2" customFormat="1" hidden="1" x14ac:dyDescent="0.2">
      <c r="A24" s="12" t="s">
        <v>12</v>
      </c>
      <c r="B24" s="18" t="s">
        <v>41</v>
      </c>
      <c r="C24" s="188"/>
      <c r="D24" s="189"/>
      <c r="E24" s="190"/>
      <c r="F24" s="190"/>
      <c r="G24" s="190"/>
      <c r="H24" s="190"/>
      <c r="I24" s="190"/>
      <c r="J24" s="190"/>
      <c r="K24" s="190"/>
      <c r="L24" s="64"/>
      <c r="M24" s="64"/>
      <c r="N24" s="64"/>
      <c r="O24" s="64"/>
      <c r="P24" s="64"/>
      <c r="Q24" s="64"/>
      <c r="R24" s="3"/>
      <c r="S24" s="3"/>
    </row>
    <row r="25" spans="1:19" s="2" customFormat="1" ht="36" x14ac:dyDescent="0.2">
      <c r="A25" s="50" t="s">
        <v>97</v>
      </c>
      <c r="B25" s="18" t="s">
        <v>39</v>
      </c>
      <c r="C25" s="197">
        <v>611.9</v>
      </c>
      <c r="D25" s="198">
        <v>445.73025000000001</v>
      </c>
      <c r="E25" s="199">
        <v>1308.6696000000002</v>
      </c>
      <c r="F25" s="199">
        <v>1377.1174750000002</v>
      </c>
      <c r="G25" s="199">
        <v>1427.1174750000002</v>
      </c>
      <c r="H25" s="199">
        <v>1500</v>
      </c>
      <c r="I25" s="199">
        <v>1550</v>
      </c>
      <c r="J25" s="199">
        <v>1658.9202266875002</v>
      </c>
      <c r="K25" s="199">
        <v>1714.9202266875002</v>
      </c>
      <c r="L25" s="64"/>
      <c r="M25" s="64"/>
      <c r="N25" s="64"/>
      <c r="O25" s="64"/>
      <c r="P25" s="64"/>
      <c r="Q25" s="64"/>
      <c r="R25" s="3"/>
      <c r="S25" s="3"/>
    </row>
    <row r="26" spans="1:19" s="2" customFormat="1" x14ac:dyDescent="0.2">
      <c r="A26" s="51" t="s">
        <v>15</v>
      </c>
      <c r="B26" s="18" t="s">
        <v>41</v>
      </c>
      <c r="C26" s="188"/>
      <c r="D26" s="198">
        <v>69.540269947303983</v>
      </c>
      <c r="E26" s="198">
        <v>275.35995371748351</v>
      </c>
      <c r="F26" s="199">
        <v>100.89198505843346</v>
      </c>
      <c r="G26" s="199">
        <v>105.87477134044696</v>
      </c>
      <c r="H26" s="199">
        <v>105.44353280781125</v>
      </c>
      <c r="I26" s="199">
        <v>105.44712648354604</v>
      </c>
      <c r="J26" s="199">
        <v>107.47782485827663</v>
      </c>
      <c r="K26" s="199">
        <v>107.5218801020408</v>
      </c>
      <c r="L26" s="64"/>
      <c r="M26" s="64"/>
      <c r="N26" s="64"/>
      <c r="O26" s="64"/>
      <c r="P26" s="64"/>
      <c r="Q26" s="64"/>
      <c r="R26" s="3"/>
      <c r="S26" s="3"/>
    </row>
    <row r="27" spans="1:19" s="2" customFormat="1" x14ac:dyDescent="0.2">
      <c r="A27" s="51" t="s">
        <v>12</v>
      </c>
      <c r="B27" s="18" t="s">
        <v>41</v>
      </c>
      <c r="C27" s="188"/>
      <c r="D27" s="198">
        <f>'Дефлятор базовый'!B38</f>
        <v>104.7503019578194</v>
      </c>
      <c r="E27" s="198">
        <f>'Дефлятор базовый'!C38</f>
        <v>106.62452882512304</v>
      </c>
      <c r="F27" s="199">
        <v>104.3</v>
      </c>
      <c r="G27" s="199">
        <f>'Дефлятор базовый'!D38</f>
        <v>102.98334679773096</v>
      </c>
      <c r="H27" s="199">
        <v>103.3</v>
      </c>
      <c r="I27" s="199">
        <f>'Дефлятор базовый'!E38</f>
        <v>102.9795114896142</v>
      </c>
      <c r="J27" s="199">
        <v>102.9</v>
      </c>
      <c r="K27" s="199">
        <f>'Дефлятор базовый'!F38</f>
        <v>102.9396395378666</v>
      </c>
      <c r="L27" s="64"/>
      <c r="M27" s="64"/>
      <c r="N27" s="64"/>
      <c r="O27" s="64"/>
      <c r="P27" s="64"/>
      <c r="Q27" s="64"/>
      <c r="R27" s="3"/>
      <c r="S27" s="3"/>
    </row>
    <row r="28" spans="1:19" s="2" customFormat="1" ht="36" x14ac:dyDescent="0.2">
      <c r="A28" s="53" t="s">
        <v>160</v>
      </c>
      <c r="B28" s="288" t="s">
        <v>39</v>
      </c>
      <c r="C28" s="289">
        <v>43.7</v>
      </c>
      <c r="D28" s="198">
        <v>40.566000000000003</v>
      </c>
      <c r="E28" s="290">
        <v>42.594300000000004</v>
      </c>
      <c r="F28" s="290">
        <v>42.724015000000009</v>
      </c>
      <c r="G28" s="290">
        <v>44.724015000000009</v>
      </c>
      <c r="H28" s="290">
        <v>44.96021575000001</v>
      </c>
      <c r="I28" s="290">
        <v>46.96021575000001</v>
      </c>
      <c r="J28" s="290">
        <v>47.308226537500012</v>
      </c>
      <c r="K28" s="290">
        <v>49.308226537500012</v>
      </c>
      <c r="L28" s="64"/>
      <c r="M28" s="64"/>
      <c r="N28" s="64"/>
      <c r="O28" s="64"/>
      <c r="P28" s="64"/>
      <c r="Q28" s="64"/>
      <c r="R28" s="3"/>
      <c r="S28" s="3"/>
    </row>
    <row r="29" spans="1:19" s="2" customFormat="1" x14ac:dyDescent="0.2">
      <c r="A29" s="12" t="s">
        <v>15</v>
      </c>
      <c r="B29" s="288" t="s">
        <v>41</v>
      </c>
      <c r="C29" s="291"/>
      <c r="D29" s="198">
        <v>88.618718563141812</v>
      </c>
      <c r="E29" s="198">
        <v>98.476402340977799</v>
      </c>
      <c r="F29" s="290">
        <v>96.169257960638603</v>
      </c>
      <c r="G29" s="290">
        <v>101.94174757281553</v>
      </c>
      <c r="H29" s="290">
        <v>101.87227531369984</v>
      </c>
      <c r="I29" s="290">
        <v>101.94174757281553</v>
      </c>
      <c r="J29" s="290">
        <v>101.86100567425171</v>
      </c>
      <c r="K29" s="290">
        <v>101.94174757281553</v>
      </c>
      <c r="L29" s="64"/>
      <c r="M29" s="64"/>
      <c r="N29" s="64"/>
      <c r="O29" s="64"/>
      <c r="P29" s="64"/>
      <c r="Q29" s="64"/>
      <c r="R29" s="3"/>
      <c r="S29" s="3"/>
    </row>
    <row r="30" spans="1:19" s="2" customFormat="1" x14ac:dyDescent="0.2">
      <c r="A30" s="12" t="s">
        <v>12</v>
      </c>
      <c r="B30" s="288" t="s">
        <v>41</v>
      </c>
      <c r="C30" s="291"/>
      <c r="D30" s="198">
        <f>'Дефлятор базовый'!B38</f>
        <v>104.7503019578194</v>
      </c>
      <c r="E30" s="198">
        <f>'Дефлятор базовый'!C38</f>
        <v>106.62452882512304</v>
      </c>
      <c r="F30" s="290">
        <v>104.3</v>
      </c>
      <c r="G30" s="290">
        <f>'Дефлятор базовый'!D38</f>
        <v>102.98334679773096</v>
      </c>
      <c r="H30" s="290">
        <v>103.3</v>
      </c>
      <c r="I30" s="290">
        <f>'Дефлятор базовый'!E38</f>
        <v>102.9795114896142</v>
      </c>
      <c r="J30" s="290">
        <v>102.9</v>
      </c>
      <c r="K30" s="290">
        <f>'Дефлятор базовый'!F38</f>
        <v>102.9396395378666</v>
      </c>
      <c r="L30" s="64"/>
      <c r="M30" s="64"/>
      <c r="N30" s="64"/>
      <c r="O30" s="64"/>
      <c r="P30" s="64"/>
      <c r="Q30" s="64"/>
      <c r="R30" s="3"/>
      <c r="S30" s="3"/>
    </row>
    <row r="31" spans="1:19" s="2" customFormat="1" ht="36" hidden="1" x14ac:dyDescent="0.2">
      <c r="A31" s="17" t="s">
        <v>107</v>
      </c>
      <c r="B31" s="18" t="s">
        <v>39</v>
      </c>
      <c r="C31" s="188"/>
      <c r="D31" s="189"/>
      <c r="E31" s="190"/>
      <c r="F31" s="190"/>
      <c r="G31" s="190"/>
      <c r="H31" s="190"/>
      <c r="I31" s="190"/>
      <c r="J31" s="190"/>
      <c r="K31" s="190"/>
      <c r="L31" s="64"/>
      <c r="M31" s="64"/>
      <c r="N31" s="64"/>
      <c r="O31" s="64"/>
      <c r="P31" s="64"/>
      <c r="Q31" s="64"/>
      <c r="R31" s="3"/>
      <c r="S31" s="3"/>
    </row>
    <row r="32" spans="1:19" s="2" customFormat="1" hidden="1" x14ac:dyDescent="0.2">
      <c r="A32" s="12" t="s">
        <v>15</v>
      </c>
      <c r="B32" s="18" t="s">
        <v>41</v>
      </c>
      <c r="C32" s="188"/>
      <c r="D32" s="189"/>
      <c r="E32" s="190"/>
      <c r="F32" s="190"/>
      <c r="G32" s="190"/>
      <c r="H32" s="190"/>
      <c r="I32" s="190"/>
      <c r="J32" s="190"/>
      <c r="K32" s="190"/>
      <c r="L32" s="64"/>
      <c r="M32" s="64"/>
      <c r="N32" s="64"/>
      <c r="O32" s="64"/>
      <c r="P32" s="64"/>
      <c r="Q32" s="64"/>
      <c r="R32" s="3"/>
      <c r="S32" s="3"/>
    </row>
    <row r="33" spans="1:19" s="2" customFormat="1" hidden="1" x14ac:dyDescent="0.2">
      <c r="A33" s="12" t="s">
        <v>12</v>
      </c>
      <c r="B33" s="18" t="s">
        <v>41</v>
      </c>
      <c r="C33" s="188"/>
      <c r="D33" s="189"/>
      <c r="E33" s="190"/>
      <c r="F33" s="190"/>
      <c r="G33" s="190"/>
      <c r="H33" s="190"/>
      <c r="I33" s="190"/>
      <c r="J33" s="190"/>
      <c r="K33" s="190"/>
      <c r="L33" s="64"/>
      <c r="M33" s="64"/>
      <c r="N33" s="64"/>
      <c r="O33" s="64"/>
      <c r="P33" s="64"/>
      <c r="Q33" s="64"/>
      <c r="R33" s="3"/>
      <c r="S33" s="3"/>
    </row>
    <row r="34" spans="1:19" s="2" customFormat="1" ht="37.5" customHeight="1" x14ac:dyDescent="0.2">
      <c r="A34" s="17" t="s">
        <v>106</v>
      </c>
      <c r="B34" s="18" t="s">
        <v>39</v>
      </c>
      <c r="C34" s="197">
        <v>5.0999999999999996</v>
      </c>
      <c r="D34" s="198">
        <v>8.0150000000000006</v>
      </c>
      <c r="E34" s="199">
        <v>9.2460000000000004</v>
      </c>
      <c r="F34" s="199">
        <v>9.3000000000000007</v>
      </c>
      <c r="G34" s="199">
        <v>9.8000000000000007</v>
      </c>
      <c r="H34" s="199">
        <v>9.9</v>
      </c>
      <c r="I34" s="199">
        <v>10.46</v>
      </c>
      <c r="J34" s="199">
        <f>K34-0.639</f>
        <v>10.521000000000001</v>
      </c>
      <c r="K34" s="199">
        <v>11.16</v>
      </c>
      <c r="L34" s="64"/>
      <c r="M34" s="64"/>
      <c r="N34" s="64"/>
      <c r="O34" s="64"/>
      <c r="P34" s="64"/>
      <c r="Q34" s="64"/>
      <c r="R34" s="3"/>
      <c r="S34" s="3"/>
    </row>
    <row r="35" spans="1:19" s="2" customFormat="1" ht="14.25" customHeight="1" x14ac:dyDescent="0.2">
      <c r="A35" s="12" t="s">
        <v>15</v>
      </c>
      <c r="B35" s="18" t="s">
        <v>41</v>
      </c>
      <c r="C35" s="188"/>
      <c r="D35" s="198">
        <v>135.66997399679877</v>
      </c>
      <c r="E35" s="198">
        <v>108.51547582553762</v>
      </c>
      <c r="F35" s="199">
        <v>96.160646596595541</v>
      </c>
      <c r="G35" s="199">
        <v>103.00464550951247</v>
      </c>
      <c r="H35" s="199">
        <v>102.06290786502954</v>
      </c>
      <c r="I35" s="199">
        <v>103.0257662910724</v>
      </c>
      <c r="J35" s="199">
        <v>102.08715396035282</v>
      </c>
      <c r="K35" s="199">
        <v>102.98471101530376</v>
      </c>
      <c r="L35" s="64"/>
      <c r="M35" s="64"/>
      <c r="N35" s="64"/>
      <c r="O35" s="64"/>
      <c r="P35" s="64"/>
      <c r="Q35" s="64"/>
      <c r="R35" s="3"/>
      <c r="S35" s="3"/>
    </row>
    <row r="36" spans="1:19" s="2" customFormat="1" x14ac:dyDescent="0.2">
      <c r="A36" s="12" t="s">
        <v>12</v>
      </c>
      <c r="B36" s="18" t="s">
        <v>41</v>
      </c>
      <c r="C36" s="19"/>
      <c r="D36" s="207">
        <f>'Дефлятор базовый'!B41</f>
        <v>115.83761543936487</v>
      </c>
      <c r="E36" s="207">
        <f>'Дефлятор базовый'!C41</f>
        <v>106.30622181337766</v>
      </c>
      <c r="F36" s="83">
        <v>104.6</v>
      </c>
      <c r="G36" s="83">
        <f>'Дефлятор базовый'!D41</f>
        <v>102.9286196759507</v>
      </c>
      <c r="H36" s="83">
        <v>104.3</v>
      </c>
      <c r="I36" s="83">
        <f>'Дефлятор базовый'!E41</f>
        <v>103.58865127037538</v>
      </c>
      <c r="J36" s="83">
        <v>104.1</v>
      </c>
      <c r="K36" s="83">
        <f>'Дефлятор базовый'!F41</f>
        <v>103.60929802579935</v>
      </c>
      <c r="L36" s="64"/>
      <c r="M36" s="64"/>
      <c r="N36" s="64"/>
      <c r="O36" s="64"/>
      <c r="P36" s="64"/>
      <c r="Q36" s="64"/>
      <c r="R36" s="3"/>
      <c r="S36" s="3"/>
    </row>
    <row r="37" spans="1:19" s="2" customFormat="1" ht="36" hidden="1" x14ac:dyDescent="0.2">
      <c r="A37" s="17" t="s">
        <v>105</v>
      </c>
      <c r="B37" s="18" t="s">
        <v>39</v>
      </c>
      <c r="C37" s="19"/>
      <c r="D37" s="20"/>
      <c r="E37" s="8"/>
      <c r="F37" s="8"/>
      <c r="G37" s="8"/>
      <c r="H37" s="8"/>
      <c r="I37" s="8"/>
      <c r="J37" s="8"/>
      <c r="K37" s="8"/>
      <c r="L37" s="64"/>
      <c r="M37" s="64"/>
      <c r="N37" s="64"/>
      <c r="O37" s="64"/>
      <c r="P37" s="64"/>
      <c r="Q37" s="64"/>
      <c r="R37" s="3"/>
      <c r="S37" s="3"/>
    </row>
    <row r="38" spans="1:19" s="2" customFormat="1" hidden="1" x14ac:dyDescent="0.2">
      <c r="A38" s="12" t="s">
        <v>15</v>
      </c>
      <c r="B38" s="18" t="s">
        <v>41</v>
      </c>
      <c r="C38" s="19"/>
      <c r="D38" s="20"/>
      <c r="E38" s="8"/>
      <c r="F38" s="8"/>
      <c r="G38" s="8"/>
      <c r="H38" s="8"/>
      <c r="I38" s="8"/>
      <c r="J38" s="8"/>
      <c r="K38" s="8"/>
      <c r="L38" s="64"/>
      <c r="M38" s="64"/>
      <c r="N38" s="64"/>
      <c r="O38" s="64"/>
      <c r="P38" s="64"/>
      <c r="Q38" s="64"/>
      <c r="R38" s="1"/>
      <c r="S38" s="3"/>
    </row>
    <row r="39" spans="1:19" s="2" customFormat="1" hidden="1" x14ac:dyDescent="0.2">
      <c r="A39" s="12" t="s">
        <v>12</v>
      </c>
      <c r="B39" s="18" t="s">
        <v>41</v>
      </c>
      <c r="C39" s="19"/>
      <c r="D39" s="20"/>
      <c r="E39" s="8"/>
      <c r="F39" s="8"/>
      <c r="G39" s="8"/>
      <c r="H39" s="8"/>
      <c r="I39" s="8"/>
      <c r="J39" s="8"/>
      <c r="K39" s="8"/>
      <c r="L39" s="64"/>
      <c r="M39" s="64"/>
      <c r="N39" s="64"/>
      <c r="O39" s="64"/>
      <c r="P39" s="64"/>
      <c r="Q39" s="64"/>
      <c r="R39" s="1"/>
      <c r="S39" s="3"/>
    </row>
    <row r="40" spans="1:19" s="2" customFormat="1" ht="48" x14ac:dyDescent="0.2">
      <c r="A40" s="53" t="s">
        <v>104</v>
      </c>
      <c r="B40" s="288" t="s">
        <v>39</v>
      </c>
      <c r="C40" s="293">
        <v>6296.9</v>
      </c>
      <c r="D40" s="207">
        <v>5051.8600000000015</v>
      </c>
      <c r="E40" s="294">
        <v>6560.6200000000008</v>
      </c>
      <c r="F40" s="294">
        <v>6890</v>
      </c>
      <c r="G40" s="294">
        <v>6930</v>
      </c>
      <c r="H40" s="294">
        <v>7250</v>
      </c>
      <c r="I40" s="294">
        <v>7320</v>
      </c>
      <c r="J40" s="294">
        <v>7698.4800000000005</v>
      </c>
      <c r="K40" s="294">
        <v>7788.4800000000005</v>
      </c>
      <c r="L40" s="64"/>
      <c r="M40" s="64"/>
      <c r="N40" s="64"/>
      <c r="O40" s="64"/>
      <c r="P40" s="64"/>
      <c r="Q40" s="64"/>
      <c r="R40" s="1"/>
      <c r="S40" s="3"/>
    </row>
    <row r="41" spans="1:19" s="2" customFormat="1" x14ac:dyDescent="0.2">
      <c r="A41" s="12" t="s">
        <v>15</v>
      </c>
      <c r="B41" s="288" t="s">
        <v>41</v>
      </c>
      <c r="C41" s="295"/>
      <c r="D41" s="207">
        <v>82.527415531628719</v>
      </c>
      <c r="E41" s="207">
        <v>116.46703868619323</v>
      </c>
      <c r="F41" s="294">
        <v>100.49814553207925</v>
      </c>
      <c r="G41" s="294">
        <v>101.9597109600798</v>
      </c>
      <c r="H41" s="294">
        <v>99.362571969338759</v>
      </c>
      <c r="I41" s="294">
        <v>101.07914414134511</v>
      </c>
      <c r="J41" s="294">
        <v>102.0037762098778</v>
      </c>
      <c r="K41" s="294">
        <v>101.81818181818183</v>
      </c>
      <c r="L41" s="64"/>
      <c r="M41" s="64"/>
      <c r="N41" s="64"/>
      <c r="O41" s="64"/>
      <c r="P41" s="64"/>
      <c r="Q41" s="64"/>
      <c r="R41" s="1"/>
      <c r="S41" s="3"/>
    </row>
    <row r="42" spans="1:19" s="2" customFormat="1" x14ac:dyDescent="0.2">
      <c r="A42" s="12" t="s">
        <v>12</v>
      </c>
      <c r="B42" s="18" t="s">
        <v>41</v>
      </c>
      <c r="C42" s="19"/>
      <c r="D42" s="207">
        <f>'Дефлятор базовый'!B44</f>
        <v>97.213429729948203</v>
      </c>
      <c r="E42" s="207">
        <f>'Дефлятор базовый'!C44</f>
        <v>111.5040248003706</v>
      </c>
      <c r="F42" s="83">
        <v>104.5</v>
      </c>
      <c r="G42" s="83">
        <f>'Дефлятор базовый'!D44</f>
        <v>103.63596259088868</v>
      </c>
      <c r="H42" s="83">
        <v>105.9</v>
      </c>
      <c r="I42" s="83">
        <f>'Дефлятор базовый'!E44</f>
        <v>104.4954290051719</v>
      </c>
      <c r="J42" s="83">
        <v>104.1</v>
      </c>
      <c r="K42" s="83">
        <f>'Дефлятор базовый'!F44</f>
        <v>103.44502869195682</v>
      </c>
      <c r="L42" s="64"/>
      <c r="M42" s="64"/>
      <c r="N42" s="64"/>
      <c r="O42" s="64"/>
      <c r="P42" s="64"/>
      <c r="Q42" s="64"/>
      <c r="R42" s="1"/>
      <c r="S42" s="3"/>
    </row>
    <row r="43" spans="1:19" s="2" customFormat="1" ht="36" hidden="1" x14ac:dyDescent="0.2">
      <c r="A43" s="17" t="s">
        <v>103</v>
      </c>
      <c r="B43" s="18" t="s">
        <v>39</v>
      </c>
      <c r="C43" s="19"/>
      <c r="D43" s="20"/>
      <c r="E43" s="8"/>
      <c r="F43" s="8"/>
      <c r="G43" s="8"/>
      <c r="H43" s="8"/>
      <c r="I43" s="8"/>
      <c r="J43" s="8"/>
      <c r="K43" s="8"/>
      <c r="L43" s="64"/>
      <c r="M43" s="64"/>
      <c r="N43" s="64"/>
      <c r="O43" s="64"/>
      <c r="P43" s="64"/>
      <c r="Q43" s="64"/>
      <c r="R43" s="3"/>
      <c r="S43" s="3"/>
    </row>
    <row r="44" spans="1:19" s="2" customFormat="1" hidden="1" x14ac:dyDescent="0.2">
      <c r="A44" s="12" t="s">
        <v>15</v>
      </c>
      <c r="B44" s="18" t="s">
        <v>41</v>
      </c>
      <c r="C44" s="19"/>
      <c r="D44" s="20"/>
      <c r="E44" s="8"/>
      <c r="F44" s="8"/>
      <c r="G44" s="8"/>
      <c r="H44" s="8"/>
      <c r="I44" s="8"/>
      <c r="J44" s="8"/>
      <c r="K44" s="8"/>
      <c r="L44" s="64"/>
      <c r="M44" s="64"/>
      <c r="N44" s="64"/>
      <c r="O44" s="64"/>
      <c r="P44" s="64"/>
      <c r="Q44" s="64"/>
      <c r="R44" s="3"/>
      <c r="S44" s="3"/>
    </row>
    <row r="45" spans="1:19" s="2" customFormat="1" hidden="1" x14ac:dyDescent="0.2">
      <c r="A45" s="12" t="s">
        <v>12</v>
      </c>
      <c r="B45" s="18" t="s">
        <v>41</v>
      </c>
      <c r="C45" s="19"/>
      <c r="D45" s="20"/>
      <c r="E45" s="8"/>
      <c r="F45" s="8"/>
      <c r="G45" s="8"/>
      <c r="H45" s="8"/>
      <c r="I45" s="8"/>
      <c r="J45" s="8"/>
      <c r="K45" s="8"/>
      <c r="L45" s="64"/>
      <c r="M45" s="64"/>
      <c r="N45" s="64"/>
      <c r="O45" s="64"/>
      <c r="P45" s="64"/>
      <c r="Q45" s="64"/>
      <c r="R45" s="3"/>
      <c r="S45" s="3"/>
    </row>
    <row r="46" spans="1:19" s="2" customFormat="1" ht="36" x14ac:dyDescent="0.2">
      <c r="A46" s="17" t="s">
        <v>102</v>
      </c>
      <c r="B46" s="18" t="s">
        <v>39</v>
      </c>
      <c r="C46" s="208">
        <v>33.700000000000003</v>
      </c>
      <c r="D46" s="209">
        <v>32.956000000000003</v>
      </c>
      <c r="E46" s="210">
        <v>32.893000000000001</v>
      </c>
      <c r="F46" s="210">
        <v>32.130000000000003</v>
      </c>
      <c r="G46" s="210">
        <v>32.630000000000003</v>
      </c>
      <c r="H46" s="210">
        <v>31.9</v>
      </c>
      <c r="I46" s="210">
        <v>32.4</v>
      </c>
      <c r="J46" s="210">
        <v>31.5</v>
      </c>
      <c r="K46" s="210">
        <v>32.200000000000003</v>
      </c>
      <c r="L46" s="64"/>
      <c r="M46" s="64"/>
      <c r="N46" s="64"/>
      <c r="O46" s="64"/>
      <c r="P46" s="64"/>
      <c r="Q46" s="64"/>
      <c r="R46" s="3"/>
      <c r="S46" s="3"/>
    </row>
    <row r="47" spans="1:19" s="2" customFormat="1" x14ac:dyDescent="0.2">
      <c r="A47" s="12" t="s">
        <v>15</v>
      </c>
      <c r="B47" s="18" t="s">
        <v>41</v>
      </c>
      <c r="C47" s="23"/>
      <c r="D47" s="209">
        <v>95.319165775157728</v>
      </c>
      <c r="E47" s="209">
        <v>87.373521582827877</v>
      </c>
      <c r="F47" s="210">
        <v>94.468430873188808</v>
      </c>
      <c r="G47" s="210">
        <v>97.350773094322804</v>
      </c>
      <c r="H47" s="210">
        <v>95.190947370745462</v>
      </c>
      <c r="I47" s="210">
        <v>95.844717358661569</v>
      </c>
      <c r="J47" s="210">
        <v>95.222836552268291</v>
      </c>
      <c r="K47" s="210">
        <v>95.929262595929259</v>
      </c>
      <c r="L47" s="64"/>
      <c r="M47" s="64"/>
      <c r="N47" s="64"/>
      <c r="O47" s="64"/>
      <c r="P47" s="64"/>
      <c r="Q47" s="64"/>
      <c r="R47" s="3"/>
      <c r="S47" s="3"/>
    </row>
    <row r="48" spans="1:19" s="2" customFormat="1" x14ac:dyDescent="0.2">
      <c r="A48" s="12" t="s">
        <v>12</v>
      </c>
      <c r="B48" s="18" t="s">
        <v>41</v>
      </c>
      <c r="C48" s="23"/>
      <c r="D48" s="209">
        <f>'Дефлятор базовый'!B47</f>
        <v>102.59456644547731</v>
      </c>
      <c r="E48" s="209">
        <f>'Дефлятор базовый'!C47</f>
        <v>114.23236034863611</v>
      </c>
      <c r="F48" s="210">
        <v>103.4</v>
      </c>
      <c r="G48" s="210">
        <f>'Дефлятор базовый'!D47</f>
        <v>101.90675262887345</v>
      </c>
      <c r="H48" s="210">
        <v>104.3</v>
      </c>
      <c r="I48" s="210">
        <f>'Дефлятор базовый'!E47</f>
        <v>103.5611049654096</v>
      </c>
      <c r="J48" s="210">
        <v>103.7</v>
      </c>
      <c r="K48" s="210">
        <f>'Дефлятор базовый'!F47</f>
        <v>103.24694668786887</v>
      </c>
      <c r="L48" s="64"/>
      <c r="M48" s="64"/>
      <c r="N48" s="64"/>
      <c r="O48" s="64"/>
      <c r="P48" s="64"/>
      <c r="Q48" s="64"/>
      <c r="R48" s="3"/>
      <c r="S48" s="3"/>
    </row>
    <row r="49" spans="1:19" s="2" customFormat="1" ht="46.5" hidden="1" customHeight="1" x14ac:dyDescent="0.2">
      <c r="A49" s="17" t="s">
        <v>101</v>
      </c>
      <c r="B49" s="18" t="s">
        <v>39</v>
      </c>
      <c r="C49" s="23"/>
      <c r="D49" s="24"/>
      <c r="E49" s="25"/>
      <c r="F49" s="25"/>
      <c r="G49" s="25"/>
      <c r="H49" s="25"/>
      <c r="I49" s="25"/>
      <c r="J49" s="25"/>
      <c r="K49" s="25"/>
      <c r="L49" s="64"/>
      <c r="M49" s="64"/>
      <c r="N49" s="64"/>
      <c r="O49" s="64"/>
      <c r="P49" s="64"/>
      <c r="Q49" s="64"/>
      <c r="R49" s="1"/>
      <c r="S49" s="3"/>
    </row>
    <row r="50" spans="1:19" s="2" customFormat="1" ht="23.25" hidden="1" customHeight="1" x14ac:dyDescent="0.2">
      <c r="A50" s="12" t="s">
        <v>15</v>
      </c>
      <c r="B50" s="18" t="s">
        <v>41</v>
      </c>
      <c r="C50" s="23"/>
      <c r="D50" s="24"/>
      <c r="E50" s="25"/>
      <c r="F50" s="25"/>
      <c r="G50" s="25"/>
      <c r="H50" s="25"/>
      <c r="I50" s="25"/>
      <c r="J50" s="25"/>
      <c r="K50" s="25"/>
      <c r="L50" s="64"/>
      <c r="M50" s="64"/>
      <c r="N50" s="64"/>
      <c r="O50" s="64"/>
      <c r="P50" s="64"/>
      <c r="Q50" s="64"/>
      <c r="R50" s="3"/>
      <c r="S50" s="3"/>
    </row>
    <row r="51" spans="1:19" s="2" customFormat="1" hidden="1" x14ac:dyDescent="0.2">
      <c r="A51" s="12" t="s">
        <v>12</v>
      </c>
      <c r="B51" s="18" t="s">
        <v>41</v>
      </c>
      <c r="C51" s="23"/>
      <c r="D51" s="24"/>
      <c r="E51" s="25"/>
      <c r="F51" s="25"/>
      <c r="G51" s="25"/>
      <c r="H51" s="25"/>
      <c r="I51" s="25"/>
      <c r="J51" s="25"/>
      <c r="K51" s="25"/>
      <c r="L51" s="64"/>
      <c r="M51" s="64"/>
      <c r="N51" s="64"/>
      <c r="O51" s="64"/>
      <c r="P51" s="64"/>
      <c r="Q51" s="64"/>
      <c r="R51" s="3"/>
      <c r="S51" s="3"/>
    </row>
    <row r="52" spans="1:19" s="2" customFormat="1" ht="36" hidden="1" x14ac:dyDescent="0.2">
      <c r="A52" s="17" t="s">
        <v>100</v>
      </c>
      <c r="B52" s="18" t="s">
        <v>39</v>
      </c>
      <c r="C52" s="23"/>
      <c r="D52" s="24"/>
      <c r="E52" s="25"/>
      <c r="F52" s="25"/>
      <c r="G52" s="25"/>
      <c r="H52" s="25"/>
      <c r="I52" s="25"/>
      <c r="J52" s="25"/>
      <c r="K52" s="25"/>
      <c r="L52" s="64"/>
      <c r="M52" s="64"/>
      <c r="N52" s="64"/>
      <c r="O52" s="64"/>
      <c r="P52" s="64"/>
      <c r="Q52" s="64"/>
      <c r="R52" s="3"/>
      <c r="S52" s="3"/>
    </row>
    <row r="53" spans="1:19" s="2" customFormat="1" hidden="1" x14ac:dyDescent="0.2">
      <c r="A53" s="12" t="s">
        <v>15</v>
      </c>
      <c r="B53" s="18" t="s">
        <v>41</v>
      </c>
      <c r="C53" s="23"/>
      <c r="D53" s="24"/>
      <c r="E53" s="25"/>
      <c r="F53" s="25"/>
      <c r="G53" s="25"/>
      <c r="H53" s="25"/>
      <c r="I53" s="25"/>
      <c r="J53" s="25"/>
      <c r="K53" s="25"/>
      <c r="L53" s="64"/>
      <c r="M53" s="64"/>
      <c r="N53" s="64"/>
      <c r="O53" s="64"/>
      <c r="P53" s="64"/>
      <c r="Q53" s="64"/>
      <c r="R53" s="3"/>
      <c r="S53" s="3"/>
    </row>
    <row r="54" spans="1:19" s="2" customFormat="1" hidden="1" x14ac:dyDescent="0.2">
      <c r="A54" s="12" t="s">
        <v>12</v>
      </c>
      <c r="B54" s="18" t="s">
        <v>41</v>
      </c>
      <c r="C54" s="23"/>
      <c r="D54" s="24"/>
      <c r="E54" s="25"/>
      <c r="F54" s="25"/>
      <c r="G54" s="25"/>
      <c r="H54" s="25"/>
      <c r="I54" s="25"/>
      <c r="J54" s="25"/>
      <c r="K54" s="25"/>
      <c r="L54" s="64"/>
      <c r="M54" s="64"/>
      <c r="N54" s="64"/>
      <c r="O54" s="64"/>
      <c r="P54" s="64"/>
      <c r="Q54" s="64"/>
      <c r="R54" s="3"/>
      <c r="S54" s="3"/>
    </row>
    <row r="55" spans="1:19" s="2" customFormat="1" ht="48" hidden="1" x14ac:dyDescent="0.2">
      <c r="A55" s="17" t="s">
        <v>99</v>
      </c>
      <c r="B55" s="22" t="s">
        <v>39</v>
      </c>
      <c r="C55" s="23"/>
      <c r="D55" s="24"/>
      <c r="E55" s="25"/>
      <c r="F55" s="25"/>
      <c r="G55" s="25"/>
      <c r="H55" s="25"/>
      <c r="I55" s="25"/>
      <c r="J55" s="25"/>
      <c r="K55" s="25"/>
      <c r="L55" s="64"/>
      <c r="M55" s="64"/>
      <c r="N55" s="64"/>
      <c r="O55" s="64"/>
      <c r="P55" s="64"/>
      <c r="Q55" s="64"/>
      <c r="R55" s="3"/>
      <c r="S55" s="3"/>
    </row>
    <row r="56" spans="1:19" s="2" customFormat="1" hidden="1" x14ac:dyDescent="0.2">
      <c r="A56" s="12" t="s">
        <v>15</v>
      </c>
      <c r="B56" s="22" t="s">
        <v>41</v>
      </c>
      <c r="C56" s="23"/>
      <c r="D56" s="24"/>
      <c r="E56" s="25"/>
      <c r="F56" s="25"/>
      <c r="G56" s="25"/>
      <c r="H56" s="25"/>
      <c r="I56" s="25"/>
      <c r="J56" s="25"/>
      <c r="K56" s="25"/>
      <c r="L56" s="64"/>
      <c r="M56" s="64"/>
      <c r="N56" s="64"/>
      <c r="O56" s="64"/>
      <c r="P56" s="64"/>
      <c r="Q56" s="64"/>
      <c r="R56" s="3"/>
      <c r="S56" s="3"/>
    </row>
    <row r="57" spans="1:19" s="2" customFormat="1" hidden="1" x14ac:dyDescent="0.2">
      <c r="A57" s="12" t="s">
        <v>12</v>
      </c>
      <c r="B57" s="22" t="s">
        <v>41</v>
      </c>
      <c r="C57" s="23"/>
      <c r="D57" s="24"/>
      <c r="E57" s="25"/>
      <c r="F57" s="25"/>
      <c r="G57" s="25"/>
      <c r="H57" s="25"/>
      <c r="I57" s="25"/>
      <c r="J57" s="25"/>
      <c r="K57" s="25"/>
      <c r="L57" s="64"/>
      <c r="M57" s="64"/>
      <c r="N57" s="64"/>
      <c r="O57" s="64"/>
      <c r="P57" s="64"/>
      <c r="Q57" s="64"/>
      <c r="R57" s="3"/>
      <c r="S57" s="3"/>
    </row>
    <row r="58" spans="1:19" s="2" customFormat="1" ht="36" hidden="1" x14ac:dyDescent="0.2">
      <c r="A58" s="17" t="s">
        <v>98</v>
      </c>
      <c r="B58" s="22" t="s">
        <v>31</v>
      </c>
      <c r="C58" s="23"/>
      <c r="D58" s="24"/>
      <c r="E58" s="25"/>
      <c r="F58" s="25"/>
      <c r="G58" s="25"/>
      <c r="H58" s="25"/>
      <c r="I58" s="25"/>
      <c r="J58" s="25"/>
      <c r="K58" s="25"/>
      <c r="L58" s="64"/>
      <c r="M58" s="64"/>
      <c r="N58" s="64"/>
      <c r="O58" s="64"/>
      <c r="P58" s="64"/>
      <c r="Q58" s="64"/>
      <c r="R58" s="3"/>
      <c r="S58" s="3"/>
    </row>
    <row r="59" spans="1:19" s="2" customFormat="1" ht="18" hidden="1" customHeight="1" x14ac:dyDescent="0.2">
      <c r="A59" s="12" t="s">
        <v>15</v>
      </c>
      <c r="B59" s="22" t="s">
        <v>41</v>
      </c>
      <c r="C59" s="23"/>
      <c r="D59" s="24"/>
      <c r="E59" s="25"/>
      <c r="F59" s="25"/>
      <c r="G59" s="25"/>
      <c r="H59" s="25"/>
      <c r="I59" s="25"/>
      <c r="J59" s="25"/>
      <c r="K59" s="25"/>
      <c r="L59" s="64"/>
      <c r="M59" s="64"/>
      <c r="N59" s="64"/>
      <c r="O59" s="64"/>
      <c r="P59" s="64"/>
      <c r="Q59" s="64"/>
      <c r="R59" s="3"/>
      <c r="S59" s="3"/>
    </row>
    <row r="60" spans="1:19" s="2" customFormat="1" ht="15" hidden="1" customHeight="1" x14ac:dyDescent="0.2">
      <c r="A60" s="12" t="s">
        <v>12</v>
      </c>
      <c r="B60" s="22" t="s">
        <v>41</v>
      </c>
      <c r="C60" s="23"/>
      <c r="D60" s="24"/>
      <c r="E60" s="25"/>
      <c r="F60" s="25"/>
      <c r="G60" s="25"/>
      <c r="H60" s="25"/>
      <c r="I60" s="25"/>
      <c r="J60" s="25"/>
      <c r="K60" s="25"/>
      <c r="L60" s="64"/>
      <c r="M60" s="64"/>
      <c r="N60" s="64"/>
      <c r="O60" s="64"/>
      <c r="P60" s="64"/>
      <c r="Q60" s="64"/>
      <c r="R60" s="3"/>
      <c r="S60" s="3"/>
    </row>
    <row r="61" spans="1:19" s="2" customFormat="1" ht="52.5" hidden="1" customHeight="1" x14ac:dyDescent="0.2">
      <c r="A61" s="21" t="s">
        <v>109</v>
      </c>
      <c r="B61" s="22" t="s">
        <v>39</v>
      </c>
      <c r="C61" s="23"/>
      <c r="D61" s="24"/>
      <c r="E61" s="25"/>
      <c r="F61" s="25"/>
      <c r="G61" s="25"/>
      <c r="H61" s="25"/>
      <c r="I61" s="25"/>
      <c r="J61" s="25"/>
      <c r="K61" s="25"/>
      <c r="L61" s="64"/>
      <c r="M61" s="64"/>
      <c r="N61" s="64"/>
      <c r="O61" s="64"/>
      <c r="P61" s="64"/>
      <c r="Q61" s="64"/>
      <c r="R61" s="3"/>
      <c r="S61" s="3"/>
    </row>
    <row r="62" spans="1:19" s="2" customFormat="1" ht="15.75" hidden="1" customHeight="1" x14ac:dyDescent="0.2">
      <c r="A62" s="27" t="s">
        <v>15</v>
      </c>
      <c r="B62" s="22" t="s">
        <v>41</v>
      </c>
      <c r="C62" s="23"/>
      <c r="D62" s="24"/>
      <c r="E62" s="25"/>
      <c r="F62" s="25"/>
      <c r="G62" s="25"/>
      <c r="H62" s="25"/>
      <c r="I62" s="25"/>
      <c r="J62" s="25"/>
      <c r="K62" s="25"/>
      <c r="L62" s="64"/>
      <c r="M62" s="64"/>
      <c r="N62" s="64"/>
      <c r="O62" s="64"/>
      <c r="P62" s="64"/>
      <c r="Q62" s="64"/>
      <c r="R62" s="3"/>
      <c r="S62" s="3"/>
    </row>
    <row r="63" spans="1:19" s="2" customFormat="1" ht="18" hidden="1" customHeight="1" x14ac:dyDescent="0.2">
      <c r="A63" s="27" t="s">
        <v>12</v>
      </c>
      <c r="B63" s="22" t="s">
        <v>41</v>
      </c>
      <c r="C63" s="23"/>
      <c r="D63" s="24"/>
      <c r="E63" s="25"/>
      <c r="F63" s="25"/>
      <c r="G63" s="25"/>
      <c r="H63" s="25"/>
      <c r="I63" s="25"/>
      <c r="J63" s="25"/>
      <c r="K63" s="25"/>
      <c r="L63" s="64"/>
      <c r="M63" s="64"/>
      <c r="N63" s="64"/>
      <c r="O63" s="64"/>
      <c r="P63" s="64"/>
      <c r="Q63" s="64"/>
      <c r="R63" s="3"/>
      <c r="S63" s="3"/>
    </row>
    <row r="64" spans="1:19" ht="45.75" hidden="1" customHeight="1" x14ac:dyDescent="0.2">
      <c r="A64" s="21" t="s">
        <v>110</v>
      </c>
      <c r="B64" s="22" t="s">
        <v>39</v>
      </c>
      <c r="C64" s="30"/>
      <c r="D64" s="31"/>
      <c r="E64" s="31"/>
      <c r="F64" s="31"/>
      <c r="G64" s="31"/>
      <c r="H64" s="31"/>
      <c r="I64" s="31"/>
      <c r="J64" s="31"/>
      <c r="K64" s="31"/>
    </row>
    <row r="65" spans="1:19" ht="19.5" hidden="1" customHeight="1" x14ac:dyDescent="0.2">
      <c r="A65" s="27" t="s">
        <v>15</v>
      </c>
      <c r="B65" s="22" t="s">
        <v>41</v>
      </c>
      <c r="C65" s="30"/>
      <c r="D65" s="31"/>
      <c r="E65" s="31"/>
      <c r="F65" s="31"/>
      <c r="G65" s="31"/>
      <c r="H65" s="31"/>
      <c r="I65" s="31"/>
      <c r="J65" s="31"/>
      <c r="K65" s="31"/>
    </row>
    <row r="66" spans="1:19" ht="18.75" hidden="1" customHeight="1" x14ac:dyDescent="0.2">
      <c r="A66" s="27" t="s">
        <v>12</v>
      </c>
      <c r="B66" s="22" t="s">
        <v>41</v>
      </c>
      <c r="C66" s="30"/>
      <c r="D66" s="31"/>
      <c r="E66" s="31"/>
      <c r="F66" s="31"/>
      <c r="G66" s="31"/>
      <c r="H66" s="31"/>
      <c r="I66" s="31"/>
      <c r="J66" s="31"/>
      <c r="K66" s="31"/>
    </row>
    <row r="67" spans="1:19" s="66" customFormat="1" ht="46.5" hidden="1" customHeight="1" x14ac:dyDescent="0.2">
      <c r="A67" s="21" t="s">
        <v>111</v>
      </c>
      <c r="B67" s="22" t="s">
        <v>39</v>
      </c>
      <c r="C67" s="34"/>
      <c r="D67" s="31"/>
      <c r="E67" s="31"/>
      <c r="F67" s="31"/>
      <c r="G67" s="31"/>
      <c r="H67" s="31"/>
      <c r="I67" s="31"/>
      <c r="J67" s="31"/>
      <c r="K67" s="31"/>
      <c r="L67" s="65"/>
      <c r="M67" s="65"/>
      <c r="N67" s="65"/>
      <c r="O67" s="65"/>
      <c r="P67" s="65"/>
      <c r="Q67" s="65"/>
      <c r="R67" s="65"/>
      <c r="S67" s="65"/>
    </row>
    <row r="68" spans="1:19" s="66" customFormat="1" ht="17.25" hidden="1" customHeight="1" x14ac:dyDescent="0.2">
      <c r="A68" s="27" t="s">
        <v>15</v>
      </c>
      <c r="B68" s="22" t="s">
        <v>41</v>
      </c>
      <c r="C68" s="30"/>
      <c r="D68" s="31"/>
      <c r="E68" s="31"/>
      <c r="F68" s="31"/>
      <c r="G68" s="31"/>
      <c r="H68" s="31"/>
      <c r="I68" s="31"/>
      <c r="J68" s="31"/>
      <c r="K68" s="31"/>
      <c r="L68" s="65"/>
      <c r="M68" s="65"/>
      <c r="N68" s="65"/>
      <c r="O68" s="65"/>
      <c r="P68" s="65"/>
      <c r="Q68" s="65"/>
      <c r="R68" s="65"/>
      <c r="S68" s="65"/>
    </row>
    <row r="69" spans="1:19" s="66" customFormat="1" hidden="1" x14ac:dyDescent="0.2">
      <c r="A69" s="27" t="s">
        <v>12</v>
      </c>
      <c r="B69" s="22" t="s">
        <v>41</v>
      </c>
      <c r="C69" s="30"/>
      <c r="D69" s="31"/>
      <c r="E69" s="31"/>
      <c r="F69" s="31"/>
      <c r="G69" s="31"/>
      <c r="H69" s="31"/>
      <c r="I69" s="31"/>
      <c r="J69" s="31"/>
      <c r="K69" s="31"/>
      <c r="L69" s="65"/>
      <c r="M69" s="65"/>
      <c r="N69" s="65"/>
      <c r="O69" s="65"/>
      <c r="P69" s="65"/>
      <c r="Q69" s="65"/>
      <c r="R69" s="65"/>
      <c r="S69" s="65"/>
    </row>
    <row r="70" spans="1:19" s="66" customFormat="1" ht="36" hidden="1" x14ac:dyDescent="0.2">
      <c r="A70" s="21" t="s">
        <v>112</v>
      </c>
      <c r="B70" s="22" t="s">
        <v>39</v>
      </c>
      <c r="C70" s="30"/>
      <c r="D70" s="31"/>
      <c r="E70" s="31"/>
      <c r="F70" s="31"/>
      <c r="G70" s="31"/>
      <c r="H70" s="31"/>
      <c r="I70" s="31"/>
      <c r="J70" s="31"/>
      <c r="K70" s="31"/>
      <c r="L70" s="65"/>
      <c r="M70" s="65"/>
      <c r="N70" s="65"/>
      <c r="O70" s="65"/>
      <c r="P70" s="65"/>
      <c r="Q70" s="65"/>
      <c r="R70" s="65"/>
      <c r="S70" s="65"/>
    </row>
    <row r="71" spans="1:19" s="66" customFormat="1" ht="16.5" hidden="1" customHeight="1" x14ac:dyDescent="0.2">
      <c r="A71" s="27" t="s">
        <v>15</v>
      </c>
      <c r="B71" s="22" t="s">
        <v>41</v>
      </c>
      <c r="C71" s="30"/>
      <c r="D71" s="31"/>
      <c r="E71" s="31"/>
      <c r="F71" s="31"/>
      <c r="G71" s="31"/>
      <c r="H71" s="31"/>
      <c r="I71" s="31"/>
      <c r="J71" s="31"/>
      <c r="K71" s="31"/>
      <c r="L71" s="65"/>
      <c r="M71" s="65"/>
      <c r="N71" s="65"/>
      <c r="O71" s="65"/>
      <c r="P71" s="65"/>
      <c r="Q71" s="65"/>
      <c r="R71" s="65"/>
      <c r="S71" s="65"/>
    </row>
    <row r="72" spans="1:19" s="66" customFormat="1" ht="16.5" hidden="1" customHeight="1" x14ac:dyDescent="0.2">
      <c r="A72" s="27" t="s">
        <v>12</v>
      </c>
      <c r="B72" s="22" t="s">
        <v>41</v>
      </c>
      <c r="C72" s="30"/>
      <c r="D72" s="31"/>
      <c r="E72" s="31"/>
      <c r="F72" s="31"/>
      <c r="G72" s="31"/>
      <c r="H72" s="31"/>
      <c r="I72" s="31"/>
      <c r="J72" s="26"/>
      <c r="K72" s="26"/>
      <c r="L72" s="65"/>
      <c r="M72" s="65"/>
      <c r="N72" s="65"/>
      <c r="O72" s="65"/>
      <c r="P72" s="65"/>
      <c r="Q72" s="65"/>
      <c r="R72" s="65"/>
      <c r="S72" s="65"/>
    </row>
    <row r="73" spans="1:19" s="66" customFormat="1" ht="36" hidden="1" x14ac:dyDescent="0.2">
      <c r="A73" s="21" t="s">
        <v>113</v>
      </c>
      <c r="B73" s="18" t="s">
        <v>39</v>
      </c>
      <c r="C73" s="30"/>
      <c r="D73" s="31"/>
      <c r="E73" s="31"/>
      <c r="F73" s="31"/>
      <c r="G73" s="31"/>
      <c r="H73" s="31"/>
      <c r="I73" s="31"/>
      <c r="J73" s="26"/>
      <c r="K73" s="26"/>
      <c r="L73" s="65"/>
      <c r="M73" s="65"/>
      <c r="N73" s="65"/>
      <c r="O73" s="65"/>
      <c r="P73" s="65"/>
      <c r="Q73" s="65"/>
      <c r="R73" s="65"/>
      <c r="S73" s="65"/>
    </row>
    <row r="74" spans="1:19" s="66" customFormat="1" hidden="1" x14ac:dyDescent="0.2">
      <c r="A74" s="27" t="s">
        <v>15</v>
      </c>
      <c r="B74" s="18" t="s">
        <v>41</v>
      </c>
      <c r="C74" s="30"/>
      <c r="D74" s="31"/>
      <c r="E74" s="31"/>
      <c r="F74" s="31"/>
      <c r="G74" s="31"/>
      <c r="H74" s="31"/>
      <c r="I74" s="31"/>
      <c r="J74" s="26"/>
      <c r="K74" s="26"/>
      <c r="L74" s="65"/>
      <c r="M74" s="65"/>
      <c r="N74" s="65"/>
      <c r="O74" s="65"/>
      <c r="P74" s="65"/>
      <c r="Q74" s="65"/>
      <c r="R74" s="65"/>
      <c r="S74" s="65"/>
    </row>
    <row r="75" spans="1:19" s="66" customFormat="1" hidden="1" x14ac:dyDescent="0.2">
      <c r="A75" s="27" t="s">
        <v>12</v>
      </c>
      <c r="B75" s="18" t="s">
        <v>41</v>
      </c>
      <c r="C75" s="30"/>
      <c r="D75" s="31"/>
      <c r="E75" s="31"/>
      <c r="F75" s="31"/>
      <c r="G75" s="31"/>
      <c r="H75" s="31"/>
      <c r="I75" s="31"/>
      <c r="J75" s="26"/>
      <c r="K75" s="26"/>
      <c r="L75" s="65"/>
      <c r="M75" s="65"/>
      <c r="N75" s="65"/>
      <c r="O75" s="65"/>
      <c r="P75" s="65"/>
      <c r="Q75" s="65"/>
      <c r="R75" s="65"/>
      <c r="S75" s="65"/>
    </row>
    <row r="76" spans="1:19" s="66" customFormat="1" ht="36" hidden="1" x14ac:dyDescent="0.2">
      <c r="A76" s="21" t="s">
        <v>114</v>
      </c>
      <c r="B76" s="18" t="s">
        <v>39</v>
      </c>
      <c r="C76" s="30"/>
      <c r="D76" s="31"/>
      <c r="E76" s="31"/>
      <c r="F76" s="31"/>
      <c r="G76" s="31"/>
      <c r="H76" s="31"/>
      <c r="I76" s="31"/>
      <c r="J76" s="26"/>
      <c r="K76" s="26"/>
      <c r="L76" s="65"/>
      <c r="M76" s="65"/>
      <c r="N76" s="65"/>
      <c r="O76" s="65"/>
      <c r="P76" s="65"/>
      <c r="Q76" s="65"/>
      <c r="R76" s="65"/>
      <c r="S76" s="65"/>
    </row>
    <row r="77" spans="1:19" s="66" customFormat="1" hidden="1" x14ac:dyDescent="0.2">
      <c r="A77" s="27" t="s">
        <v>15</v>
      </c>
      <c r="B77" s="18" t="s">
        <v>41</v>
      </c>
      <c r="C77" s="30"/>
      <c r="D77" s="31"/>
      <c r="E77" s="31"/>
      <c r="F77" s="31"/>
      <c r="G77" s="31"/>
      <c r="H77" s="31"/>
      <c r="I77" s="31"/>
      <c r="J77" s="26"/>
      <c r="K77" s="26"/>
      <c r="L77" s="65"/>
      <c r="M77" s="65"/>
      <c r="N77" s="65"/>
      <c r="O77" s="65"/>
      <c r="P77" s="65"/>
      <c r="Q77" s="65"/>
      <c r="R77" s="65"/>
      <c r="S77" s="65"/>
    </row>
    <row r="78" spans="1:19" s="66" customFormat="1" hidden="1" x14ac:dyDescent="0.2">
      <c r="A78" s="27" t="s">
        <v>12</v>
      </c>
      <c r="B78" s="18" t="s">
        <v>41</v>
      </c>
      <c r="C78" s="30"/>
      <c r="D78" s="31"/>
      <c r="E78" s="31"/>
      <c r="F78" s="31"/>
      <c r="G78" s="31"/>
      <c r="H78" s="31"/>
      <c r="I78" s="31"/>
      <c r="J78" s="26"/>
      <c r="K78" s="26"/>
      <c r="L78" s="65"/>
      <c r="M78" s="65"/>
      <c r="N78" s="65"/>
      <c r="O78" s="65"/>
      <c r="P78" s="65"/>
      <c r="Q78" s="65"/>
      <c r="R78" s="65"/>
      <c r="S78" s="65"/>
    </row>
    <row r="79" spans="1:19" s="66" customFormat="1" ht="36" hidden="1" x14ac:dyDescent="0.2">
      <c r="A79" s="21" t="s">
        <v>115</v>
      </c>
      <c r="B79" s="18" t="s">
        <v>39</v>
      </c>
      <c r="C79" s="30"/>
      <c r="D79" s="31"/>
      <c r="E79" s="31"/>
      <c r="F79" s="31"/>
      <c r="G79" s="31"/>
      <c r="H79" s="31"/>
      <c r="I79" s="31"/>
      <c r="J79" s="26"/>
      <c r="K79" s="26"/>
      <c r="L79" s="65"/>
      <c r="M79" s="65"/>
      <c r="N79" s="65"/>
      <c r="O79" s="65"/>
      <c r="P79" s="65"/>
      <c r="Q79" s="65"/>
      <c r="R79" s="65"/>
      <c r="S79" s="65"/>
    </row>
    <row r="80" spans="1:19" s="66" customFormat="1" hidden="1" x14ac:dyDescent="0.2">
      <c r="A80" s="27" t="s">
        <v>15</v>
      </c>
      <c r="B80" s="18" t="s">
        <v>41</v>
      </c>
      <c r="C80" s="30"/>
      <c r="D80" s="31"/>
      <c r="E80" s="31"/>
      <c r="F80" s="31"/>
      <c r="G80" s="31"/>
      <c r="H80" s="31"/>
      <c r="I80" s="31"/>
      <c r="J80" s="26"/>
      <c r="K80" s="26"/>
      <c r="L80" s="65"/>
      <c r="M80" s="65"/>
      <c r="N80" s="65"/>
      <c r="O80" s="65"/>
      <c r="P80" s="65"/>
      <c r="Q80" s="65"/>
      <c r="R80" s="65"/>
      <c r="S80" s="65"/>
    </row>
    <row r="81" spans="1:19" s="66" customFormat="1" hidden="1" x14ac:dyDescent="0.2">
      <c r="A81" s="27" t="s">
        <v>12</v>
      </c>
      <c r="B81" s="18" t="s">
        <v>41</v>
      </c>
      <c r="C81" s="30"/>
      <c r="D81" s="31"/>
      <c r="E81" s="31"/>
      <c r="F81" s="31"/>
      <c r="G81" s="31"/>
      <c r="H81" s="31"/>
      <c r="I81" s="31"/>
      <c r="J81" s="26"/>
      <c r="K81" s="26"/>
      <c r="L81" s="65"/>
      <c r="M81" s="65"/>
      <c r="N81" s="65"/>
      <c r="O81" s="65"/>
      <c r="P81" s="65"/>
      <c r="Q81" s="65"/>
      <c r="R81" s="65"/>
      <c r="S81" s="65"/>
    </row>
    <row r="82" spans="1:19" s="66" customFormat="1" ht="36" hidden="1" x14ac:dyDescent="0.2">
      <c r="A82" s="21" t="s">
        <v>116</v>
      </c>
      <c r="B82" s="18" t="s">
        <v>39</v>
      </c>
      <c r="C82" s="30"/>
      <c r="D82" s="31"/>
      <c r="E82" s="31"/>
      <c r="F82" s="31"/>
      <c r="G82" s="31"/>
      <c r="H82" s="31"/>
      <c r="I82" s="31"/>
      <c r="J82" s="26"/>
      <c r="K82" s="26"/>
      <c r="L82" s="65"/>
      <c r="M82" s="65"/>
      <c r="N82" s="65"/>
      <c r="O82" s="65"/>
      <c r="P82" s="65"/>
      <c r="Q82" s="65"/>
      <c r="R82" s="65"/>
      <c r="S82" s="65"/>
    </row>
    <row r="83" spans="1:19" s="66" customFormat="1" hidden="1" x14ac:dyDescent="0.2">
      <c r="A83" s="27" t="s">
        <v>15</v>
      </c>
      <c r="B83" s="18" t="s">
        <v>41</v>
      </c>
      <c r="C83" s="30"/>
      <c r="D83" s="31"/>
      <c r="E83" s="31"/>
      <c r="F83" s="31"/>
      <c r="G83" s="31"/>
      <c r="H83" s="31"/>
      <c r="I83" s="31"/>
      <c r="J83" s="26"/>
      <c r="K83" s="26"/>
      <c r="L83" s="65"/>
      <c r="M83" s="65"/>
      <c r="N83" s="65"/>
      <c r="O83" s="65"/>
      <c r="P83" s="65"/>
      <c r="Q83" s="65"/>
      <c r="R83" s="65"/>
      <c r="S83" s="65"/>
    </row>
    <row r="84" spans="1:19" s="66" customFormat="1" hidden="1" x14ac:dyDescent="0.2">
      <c r="A84" s="27" t="s">
        <v>12</v>
      </c>
      <c r="B84" s="18" t="s">
        <v>41</v>
      </c>
      <c r="C84" s="30"/>
      <c r="D84" s="31"/>
      <c r="E84" s="31"/>
      <c r="F84" s="31"/>
      <c r="G84" s="31"/>
      <c r="H84" s="31"/>
      <c r="I84" s="31"/>
      <c r="J84" s="26"/>
      <c r="K84" s="26"/>
      <c r="L84" s="65"/>
      <c r="M84" s="65"/>
      <c r="N84" s="65"/>
      <c r="O84" s="65"/>
      <c r="P84" s="65"/>
      <c r="Q84" s="65"/>
      <c r="R84" s="65"/>
      <c r="S84" s="65"/>
    </row>
    <row r="85" spans="1:19" s="66" customFormat="1" ht="36" hidden="1" x14ac:dyDescent="0.2">
      <c r="A85" s="21" t="s">
        <v>117</v>
      </c>
      <c r="B85" s="18" t="s">
        <v>39</v>
      </c>
      <c r="C85" s="30"/>
      <c r="D85" s="31"/>
      <c r="E85" s="31"/>
      <c r="F85" s="31"/>
      <c r="G85" s="31"/>
      <c r="H85" s="31"/>
      <c r="I85" s="31"/>
      <c r="J85" s="26"/>
      <c r="K85" s="26"/>
      <c r="L85" s="65"/>
      <c r="M85" s="65"/>
      <c r="N85" s="65"/>
      <c r="O85" s="65"/>
      <c r="P85" s="65"/>
      <c r="Q85" s="65"/>
      <c r="R85" s="65"/>
      <c r="S85" s="65"/>
    </row>
    <row r="86" spans="1:19" s="66" customFormat="1" hidden="1" x14ac:dyDescent="0.2">
      <c r="A86" s="27" t="s">
        <v>15</v>
      </c>
      <c r="B86" s="18" t="s">
        <v>41</v>
      </c>
      <c r="C86" s="30"/>
      <c r="D86" s="31"/>
      <c r="E86" s="31"/>
      <c r="F86" s="31"/>
      <c r="G86" s="31"/>
      <c r="H86" s="31"/>
      <c r="I86" s="31"/>
      <c r="J86" s="26"/>
      <c r="K86" s="26"/>
      <c r="L86" s="65"/>
      <c r="M86" s="65"/>
      <c r="N86" s="65"/>
      <c r="O86" s="65"/>
      <c r="P86" s="65"/>
      <c r="Q86" s="65"/>
      <c r="R86" s="65"/>
      <c r="S86" s="65"/>
    </row>
    <row r="87" spans="1:19" s="66" customFormat="1" hidden="1" x14ac:dyDescent="0.2">
      <c r="A87" s="27" t="s">
        <v>12</v>
      </c>
      <c r="B87" s="18" t="s">
        <v>41</v>
      </c>
      <c r="C87" s="30"/>
      <c r="D87" s="31"/>
      <c r="E87" s="31"/>
      <c r="F87" s="31"/>
      <c r="G87" s="31"/>
      <c r="H87" s="31"/>
      <c r="I87" s="31"/>
      <c r="J87" s="26"/>
      <c r="K87" s="26"/>
      <c r="L87" s="65"/>
      <c r="M87" s="65"/>
      <c r="N87" s="65"/>
      <c r="O87" s="65"/>
      <c r="P87" s="65"/>
      <c r="Q87" s="65"/>
      <c r="R87" s="65"/>
      <c r="S87" s="65"/>
    </row>
    <row r="88" spans="1:19" s="66" customFormat="1" ht="36" hidden="1" x14ac:dyDescent="0.2">
      <c r="A88" s="21" t="s">
        <v>118</v>
      </c>
      <c r="B88" s="18" t="s">
        <v>39</v>
      </c>
      <c r="C88" s="30"/>
      <c r="D88" s="31"/>
      <c r="E88" s="31"/>
      <c r="F88" s="31"/>
      <c r="G88" s="31"/>
      <c r="H88" s="31"/>
      <c r="I88" s="31"/>
      <c r="J88" s="26"/>
      <c r="K88" s="26"/>
      <c r="L88" s="65"/>
      <c r="M88" s="65"/>
      <c r="N88" s="65"/>
      <c r="O88" s="65"/>
      <c r="P88" s="65"/>
      <c r="Q88" s="65"/>
      <c r="R88" s="65"/>
      <c r="S88" s="65"/>
    </row>
    <row r="89" spans="1:19" s="66" customFormat="1" hidden="1" x14ac:dyDescent="0.2">
      <c r="A89" s="27" t="s">
        <v>15</v>
      </c>
      <c r="B89" s="18" t="s">
        <v>41</v>
      </c>
      <c r="C89" s="30"/>
      <c r="D89" s="31"/>
      <c r="E89" s="31"/>
      <c r="F89" s="31"/>
      <c r="G89" s="31"/>
      <c r="H89" s="31"/>
      <c r="I89" s="31"/>
      <c r="J89" s="26"/>
      <c r="K89" s="26"/>
      <c r="L89" s="65"/>
      <c r="M89" s="65"/>
      <c r="N89" s="65"/>
      <c r="O89" s="65"/>
      <c r="P89" s="65"/>
      <c r="Q89" s="65"/>
      <c r="R89" s="65"/>
      <c r="S89" s="65"/>
    </row>
    <row r="90" spans="1:19" s="66" customFormat="1" hidden="1" x14ac:dyDescent="0.2">
      <c r="A90" s="27" t="s">
        <v>12</v>
      </c>
      <c r="B90" s="18" t="s">
        <v>41</v>
      </c>
      <c r="C90" s="30"/>
      <c r="D90" s="31"/>
      <c r="E90" s="31"/>
      <c r="F90" s="31"/>
      <c r="G90" s="31"/>
      <c r="H90" s="31"/>
      <c r="I90" s="31"/>
      <c r="J90" s="26"/>
      <c r="K90" s="26"/>
      <c r="L90" s="65"/>
      <c r="M90" s="65"/>
      <c r="N90" s="65"/>
      <c r="O90" s="65"/>
      <c r="P90" s="65"/>
      <c r="Q90" s="65"/>
      <c r="R90" s="65"/>
      <c r="S90" s="65"/>
    </row>
    <row r="91" spans="1:19" s="66" customFormat="1" ht="36" x14ac:dyDescent="0.2">
      <c r="A91" s="28" t="s">
        <v>148</v>
      </c>
      <c r="B91" s="18" t="s">
        <v>39</v>
      </c>
      <c r="C91" s="286">
        <v>1029.6842899999999</v>
      </c>
      <c r="D91" s="286">
        <v>1052.905</v>
      </c>
      <c r="E91" s="287">
        <v>1082.018</v>
      </c>
      <c r="F91" s="287">
        <v>1102.56161</v>
      </c>
      <c r="G91" s="287">
        <v>1112.56161</v>
      </c>
      <c r="H91" s="287">
        <v>1138.6405883</v>
      </c>
      <c r="I91" s="287">
        <v>1149.6405883</v>
      </c>
      <c r="J91" s="76">
        <v>1178</v>
      </c>
      <c r="K91" s="76">
        <v>1189</v>
      </c>
      <c r="L91" s="65"/>
      <c r="M91" s="65"/>
      <c r="N91" s="65"/>
      <c r="O91" s="65"/>
      <c r="P91" s="65"/>
      <c r="Q91" s="65"/>
      <c r="R91" s="65"/>
      <c r="S91" s="65"/>
    </row>
    <row r="92" spans="1:19" s="66" customFormat="1" x14ac:dyDescent="0.2">
      <c r="A92" s="27" t="s">
        <v>15</v>
      </c>
      <c r="B92" s="18" t="s">
        <v>41</v>
      </c>
      <c r="C92" s="30"/>
      <c r="D92" s="287">
        <v>92.358854659491229</v>
      </c>
      <c r="E92" s="287">
        <v>97.141961784803286</v>
      </c>
      <c r="F92" s="287">
        <v>96.586387175327019</v>
      </c>
      <c r="G92" s="287">
        <v>97.462405225468686</v>
      </c>
      <c r="H92" s="287">
        <v>99.587547564957106</v>
      </c>
      <c r="I92" s="287">
        <v>99.600910023818855</v>
      </c>
      <c r="J92" s="287">
        <v>99.669269725102041</v>
      </c>
      <c r="K92" s="287">
        <v>99.669317058043234</v>
      </c>
      <c r="L92" s="65"/>
      <c r="M92" s="65"/>
      <c r="N92" s="65"/>
      <c r="O92" s="65"/>
      <c r="P92" s="65"/>
      <c r="Q92" s="65"/>
      <c r="R92" s="65"/>
      <c r="S92" s="65"/>
    </row>
    <row r="93" spans="1:19" s="66" customFormat="1" x14ac:dyDescent="0.2">
      <c r="A93" s="27" t="s">
        <v>12</v>
      </c>
      <c r="B93" s="18" t="s">
        <v>41</v>
      </c>
      <c r="C93" s="30"/>
      <c r="D93" s="287">
        <f>'Дефлятор базовый'!B73</f>
        <v>110.71502507364457</v>
      </c>
      <c r="E93" s="287">
        <f>'Дефлятор базовый'!C73</f>
        <v>105.78849232481322</v>
      </c>
      <c r="F93" s="287">
        <v>105.5</v>
      </c>
      <c r="G93" s="287">
        <f>'Дефлятор базовый'!D73</f>
        <v>105.45904042552033</v>
      </c>
      <c r="H93" s="287">
        <v>103.7</v>
      </c>
      <c r="I93" s="287">
        <f>'Дефлятор базовый'!E73</f>
        <v>103.74680038325069</v>
      </c>
      <c r="J93" s="76">
        <v>103.8</v>
      </c>
      <c r="K93" s="76">
        <f>'Дефлятор базовый'!F73</f>
        <v>103.76676652832182</v>
      </c>
      <c r="L93" s="65"/>
      <c r="M93" s="65"/>
      <c r="N93" s="65"/>
      <c r="O93" s="65"/>
      <c r="P93" s="65"/>
      <c r="Q93" s="65"/>
      <c r="R93" s="65"/>
      <c r="S93" s="65"/>
    </row>
    <row r="94" spans="1:19" s="66" customFormat="1" ht="48" x14ac:dyDescent="0.2">
      <c r="A94" s="28" t="s">
        <v>149</v>
      </c>
      <c r="B94" s="18" t="s">
        <v>39</v>
      </c>
      <c r="C94" s="286">
        <v>153.41800000000001</v>
      </c>
      <c r="D94" s="287">
        <v>193.63799999999998</v>
      </c>
      <c r="E94" s="287">
        <v>210.86276000000001</v>
      </c>
      <c r="F94" s="287">
        <v>210.64875520000001</v>
      </c>
      <c r="G94" s="287">
        <v>220.64875520000001</v>
      </c>
      <c r="H94" s="287">
        <v>219.96135030400001</v>
      </c>
      <c r="I94" s="287">
        <v>230.96135030400001</v>
      </c>
      <c r="J94" s="76">
        <v>229.667241016768</v>
      </c>
      <c r="K94" s="76">
        <v>241.667241016768</v>
      </c>
      <c r="L94" s="65"/>
      <c r="M94" s="65"/>
      <c r="N94" s="65"/>
      <c r="O94" s="65"/>
      <c r="P94" s="65"/>
      <c r="Q94" s="65"/>
      <c r="R94" s="65"/>
      <c r="S94" s="65"/>
    </row>
    <row r="95" spans="1:19" s="66" customFormat="1" x14ac:dyDescent="0.2">
      <c r="A95" s="27" t="s">
        <v>15</v>
      </c>
      <c r="B95" s="18" t="s">
        <v>41</v>
      </c>
      <c r="C95" s="30"/>
      <c r="D95" s="287">
        <v>110.29491564689495</v>
      </c>
      <c r="E95" s="287">
        <v>102.01931163325801</v>
      </c>
      <c r="F95" s="287">
        <v>93.102059564141669</v>
      </c>
      <c r="G95" s="287">
        <v>97.521836907508657</v>
      </c>
      <c r="H95" s="287">
        <v>100.50135854556544</v>
      </c>
      <c r="I95" s="287">
        <v>100.71275279327823</v>
      </c>
      <c r="J95" s="287">
        <v>100.49330481559855</v>
      </c>
      <c r="K95" s="287">
        <v>100.66456004582977</v>
      </c>
      <c r="L95" s="65"/>
      <c r="M95" s="65"/>
      <c r="N95" s="65"/>
      <c r="O95" s="65"/>
      <c r="P95" s="65"/>
      <c r="Q95" s="65"/>
      <c r="R95" s="65"/>
      <c r="S95" s="65"/>
    </row>
    <row r="96" spans="1:19" x14ac:dyDescent="0.2">
      <c r="A96" s="27" t="s">
        <v>12</v>
      </c>
      <c r="B96" s="18" t="s">
        <v>41</v>
      </c>
      <c r="C96" s="34"/>
      <c r="D96" s="287">
        <f>'Дефлятор базовый'!B76</f>
        <v>114.43497487954153</v>
      </c>
      <c r="E96" s="287">
        <f>'Дефлятор базовый'!C76</f>
        <v>106.7399289871779</v>
      </c>
      <c r="F96" s="287">
        <v>107.3</v>
      </c>
      <c r="G96" s="287">
        <f>'Дефлятор базовый'!D76</f>
        <v>107.33994190578483</v>
      </c>
      <c r="H96" s="287">
        <v>103.9</v>
      </c>
      <c r="I96" s="287">
        <f>'Дефлятор базовый'!E76</f>
        <v>103.93297564817851</v>
      </c>
      <c r="J96" s="287">
        <v>103.9</v>
      </c>
      <c r="K96" s="287">
        <f>'Дефлятор базовый'!F76</f>
        <v>103.9445860990466</v>
      </c>
    </row>
    <row r="97" spans="1:19" x14ac:dyDescent="0.2">
      <c r="A97" s="36" t="s">
        <v>27</v>
      </c>
      <c r="B97" s="33"/>
      <c r="C97" s="34"/>
      <c r="D97" s="31"/>
      <c r="E97" s="31"/>
      <c r="F97" s="31"/>
      <c r="G97" s="31"/>
      <c r="H97" s="31"/>
      <c r="I97" s="31"/>
      <c r="J97" s="31"/>
      <c r="K97" s="31"/>
    </row>
    <row r="98" spans="1:19" s="69" customFormat="1" x14ac:dyDescent="0.2">
      <c r="A98" s="32" t="s">
        <v>48</v>
      </c>
      <c r="B98" s="288" t="s">
        <v>39</v>
      </c>
      <c r="C98" s="299">
        <f>C102+C105</f>
        <v>3014.7</v>
      </c>
      <c r="D98" s="299">
        <f>D102+D105</f>
        <v>3114.8999999999996</v>
      </c>
      <c r="E98" s="299">
        <f>E102+E105</f>
        <v>3235</v>
      </c>
      <c r="F98" s="299">
        <f>F102+F105</f>
        <v>3423.7599999999998</v>
      </c>
      <c r="G98" s="299">
        <f>G102+G105</f>
        <v>3503.7599999999998</v>
      </c>
      <c r="H98" s="299">
        <f>H102+H105</f>
        <v>3705.0763999999999</v>
      </c>
      <c r="I98" s="299">
        <f>I102+I105</f>
        <v>3835.0763999999999</v>
      </c>
      <c r="J98" s="299">
        <f>J102+J105</f>
        <v>3998.9779231999996</v>
      </c>
      <c r="K98" s="299">
        <f>K102+K105</f>
        <v>4200.9779232000001</v>
      </c>
      <c r="L98" s="68"/>
      <c r="M98" s="68"/>
      <c r="N98" s="68"/>
      <c r="O98" s="68"/>
      <c r="P98" s="68"/>
      <c r="Q98" s="68"/>
      <c r="R98" s="68"/>
      <c r="S98" s="68"/>
    </row>
    <row r="99" spans="1:19" s="69" customFormat="1" x14ac:dyDescent="0.2">
      <c r="A99" s="27" t="s">
        <v>15</v>
      </c>
      <c r="B99" s="288" t="s">
        <v>41</v>
      </c>
      <c r="C99" s="299"/>
      <c r="D99" s="76">
        <v>105.75787770217377</v>
      </c>
      <c r="E99" s="76">
        <v>95.223961685596166</v>
      </c>
      <c r="F99" s="76">
        <v>100.03301554652415</v>
      </c>
      <c r="G99" s="76">
        <v>103.34721615913729</v>
      </c>
      <c r="H99" s="76">
        <v>103.65573973611679</v>
      </c>
      <c r="I99" s="76">
        <v>105.38718163575018</v>
      </c>
      <c r="J99" s="76">
        <v>103.88104057403673</v>
      </c>
      <c r="K99" s="76">
        <v>105.53285401829456</v>
      </c>
      <c r="L99" s="68"/>
      <c r="M99" s="68"/>
      <c r="N99" s="68"/>
      <c r="O99" s="68"/>
      <c r="P99" s="68"/>
      <c r="Q99" s="68"/>
      <c r="R99" s="68"/>
      <c r="S99" s="68"/>
    </row>
    <row r="100" spans="1:19" x14ac:dyDescent="0.2">
      <c r="A100" s="27" t="s">
        <v>12</v>
      </c>
      <c r="B100" s="18" t="s">
        <v>41</v>
      </c>
      <c r="C100" s="299"/>
      <c r="D100" s="287">
        <f>'Дефлятор базовый'!B79</f>
        <v>97.698361623083755</v>
      </c>
      <c r="E100" s="287">
        <f>'Дефлятор базовый'!C79</f>
        <v>109.06463001493762</v>
      </c>
      <c r="F100" s="287">
        <v>105.8</v>
      </c>
      <c r="G100" s="287">
        <f>'Дефлятор базовый'!D79</f>
        <v>104.8099028663496</v>
      </c>
      <c r="H100" s="287">
        <v>104.4</v>
      </c>
      <c r="I100" s="287">
        <f>'Дефлятор базовый'!E79</f>
        <v>103.86085165797947</v>
      </c>
      <c r="J100" s="287">
        <v>103.9</v>
      </c>
      <c r="K100" s="287">
        <f>'Дефлятор базовый'!F79</f>
        <v>103.79793076359542</v>
      </c>
    </row>
    <row r="101" spans="1:19" x14ac:dyDescent="0.2">
      <c r="A101" s="28" t="s">
        <v>5</v>
      </c>
      <c r="B101" s="33"/>
      <c r="C101" s="299"/>
      <c r="D101" s="287"/>
      <c r="E101" s="287"/>
      <c r="F101" s="287"/>
      <c r="G101" s="287"/>
      <c r="H101" s="287"/>
      <c r="I101" s="287"/>
      <c r="J101" s="287"/>
      <c r="K101" s="287"/>
    </row>
    <row r="102" spans="1:19" s="69" customFormat="1" x14ac:dyDescent="0.2">
      <c r="A102" s="32" t="s">
        <v>64</v>
      </c>
      <c r="B102" s="288" t="s">
        <v>39</v>
      </c>
      <c r="C102" s="299">
        <v>800.7</v>
      </c>
      <c r="D102" s="76">
        <v>710.2</v>
      </c>
      <c r="E102" s="76">
        <v>784</v>
      </c>
      <c r="F102" s="76">
        <f>G102-20</f>
        <v>873.75999999999988</v>
      </c>
      <c r="G102" s="76">
        <f>E102*114%</f>
        <v>893.75999999999988</v>
      </c>
      <c r="H102" s="76">
        <f>I102-50</f>
        <v>968.88639999999975</v>
      </c>
      <c r="I102" s="76">
        <f>G102*114%</f>
        <v>1018.8863999999998</v>
      </c>
      <c r="J102" s="76">
        <f>K102-92</f>
        <v>1067.4927231999995</v>
      </c>
      <c r="K102" s="76">
        <f>I102*113.8%</f>
        <v>1159.4927231999995</v>
      </c>
      <c r="L102" s="68"/>
      <c r="M102" s="68"/>
      <c r="N102" s="68"/>
      <c r="O102" s="68"/>
      <c r="P102" s="68"/>
      <c r="Q102" s="68"/>
      <c r="R102" s="68"/>
      <c r="S102" s="68"/>
    </row>
    <row r="103" spans="1:19" s="69" customFormat="1" x14ac:dyDescent="0.2">
      <c r="A103" s="35" t="s">
        <v>65</v>
      </c>
      <c r="B103" s="288" t="s">
        <v>41</v>
      </c>
      <c r="C103" s="299"/>
      <c r="D103" s="76">
        <v>96.264790422122402</v>
      </c>
      <c r="E103" s="76">
        <v>99.751589409464415</v>
      </c>
      <c r="F103" s="76">
        <v>104.94254198854679</v>
      </c>
      <c r="G103" s="76">
        <v>108.57142857142854</v>
      </c>
      <c r="H103" s="76">
        <v>106.01053253331547</v>
      </c>
      <c r="I103" s="76">
        <v>109.72088546679497</v>
      </c>
      <c r="J103" s="76">
        <v>106.04165954949265</v>
      </c>
      <c r="K103" s="76">
        <v>109.68950652368068</v>
      </c>
      <c r="L103" s="68"/>
      <c r="M103" s="68"/>
      <c r="N103" s="68"/>
      <c r="O103" s="68"/>
      <c r="P103" s="68"/>
      <c r="Q103" s="68"/>
      <c r="R103" s="68"/>
      <c r="S103" s="68"/>
    </row>
    <row r="104" spans="1:19" x14ac:dyDescent="0.2">
      <c r="A104" s="35" t="s">
        <v>66</v>
      </c>
      <c r="B104" s="18" t="s">
        <v>41</v>
      </c>
      <c r="C104" s="286"/>
      <c r="D104" s="287">
        <f>'Дефлятор базовый'!B81</f>
        <v>92.138973548895493</v>
      </c>
      <c r="E104" s="287">
        <f>'Дефлятор базовый'!C81</f>
        <v>110.66634595476918</v>
      </c>
      <c r="F104" s="287">
        <v>106.2</v>
      </c>
      <c r="G104" s="287">
        <f>'Дефлятор базовый'!D81</f>
        <v>104.9706544710659</v>
      </c>
      <c r="H104" s="287">
        <v>104.6</v>
      </c>
      <c r="I104" s="287">
        <f>'Дефлятор базовый'!E81</f>
        <v>103.93130357187843</v>
      </c>
      <c r="J104" s="287">
        <v>103.9</v>
      </c>
      <c r="K104" s="287">
        <f>'Дефлятор базовый'!F81</f>
        <v>103.74738988859605</v>
      </c>
    </row>
    <row r="105" spans="1:19" s="69" customFormat="1" x14ac:dyDescent="0.2">
      <c r="A105" s="32" t="s">
        <v>67</v>
      </c>
      <c r="B105" s="288" t="s">
        <v>39</v>
      </c>
      <c r="C105" s="286">
        <v>2214</v>
      </c>
      <c r="D105" s="76">
        <v>2404.6999999999998</v>
      </c>
      <c r="E105" s="76">
        <v>2451</v>
      </c>
      <c r="F105" s="76">
        <v>2550</v>
      </c>
      <c r="G105" s="76">
        <v>2610</v>
      </c>
      <c r="H105" s="76">
        <f>I105-80</f>
        <v>2736.19</v>
      </c>
      <c r="I105" s="76">
        <f>G105*107.9%</f>
        <v>2816.19</v>
      </c>
      <c r="J105" s="76">
        <f>K105-110</f>
        <v>2931.4852000000001</v>
      </c>
      <c r="K105" s="76">
        <f>I105*108%</f>
        <v>3041.4852000000001</v>
      </c>
      <c r="L105" s="68"/>
      <c r="M105" s="68"/>
      <c r="N105" s="68"/>
      <c r="O105" s="68"/>
      <c r="P105" s="68"/>
      <c r="Q105" s="68"/>
      <c r="R105" s="68"/>
      <c r="S105" s="68"/>
    </row>
    <row r="106" spans="1:19" s="69" customFormat="1" x14ac:dyDescent="0.2">
      <c r="A106" s="35" t="s">
        <v>68</v>
      </c>
      <c r="B106" s="288" t="s">
        <v>41</v>
      </c>
      <c r="C106" s="286"/>
      <c r="D106" s="76">
        <v>103.39771558423656</v>
      </c>
      <c r="E106" s="76">
        <v>95.234165131678211</v>
      </c>
      <c r="F106" s="76">
        <v>98.89654723066397</v>
      </c>
      <c r="G106" s="76">
        <v>101.80415688605657</v>
      </c>
      <c r="H106" s="76">
        <v>103.07547418583189</v>
      </c>
      <c r="I106" s="76">
        <v>103.97876770025339</v>
      </c>
      <c r="J106" s="76">
        <v>103.11596419377764</v>
      </c>
      <c r="K106" s="76">
        <v>103.98387697816152</v>
      </c>
      <c r="L106" s="68"/>
      <c r="M106" s="68"/>
      <c r="N106" s="68"/>
      <c r="O106" s="68"/>
      <c r="P106" s="68"/>
      <c r="Q106" s="68"/>
      <c r="R106" s="68"/>
      <c r="S106" s="68"/>
    </row>
    <row r="107" spans="1:19" x14ac:dyDescent="0.2">
      <c r="A107" s="35" t="s">
        <v>69</v>
      </c>
      <c r="B107" s="18" t="s">
        <v>41</v>
      </c>
      <c r="C107" s="286"/>
      <c r="D107" s="287">
        <f>'Дефлятор базовый'!B83</f>
        <v>105.04426413419388</v>
      </c>
      <c r="E107" s="287">
        <f>'Дефлятор базовый'!C83</f>
        <v>107.02608245515199</v>
      </c>
      <c r="F107" s="287">
        <v>105.2</v>
      </c>
      <c r="G107" s="287">
        <f>'Дефлятор базовый'!D83</f>
        <v>104.6053099148925</v>
      </c>
      <c r="H107" s="287">
        <v>104.1</v>
      </c>
      <c r="I107" s="287">
        <f>'Дефлятор базовый'!E83</f>
        <v>103.7711855857444</v>
      </c>
      <c r="J107" s="287">
        <v>103.9</v>
      </c>
      <c r="K107" s="287">
        <f>'Дефлятор базовый'!F83</f>
        <v>103.8622555135946</v>
      </c>
    </row>
    <row r="108" spans="1:19" ht="24" x14ac:dyDescent="0.2">
      <c r="A108" s="36" t="s">
        <v>28</v>
      </c>
      <c r="B108" s="29"/>
      <c r="C108" s="286"/>
      <c r="D108" s="287"/>
      <c r="E108" s="287"/>
      <c r="F108" s="287"/>
      <c r="G108" s="287"/>
      <c r="H108" s="287"/>
      <c r="I108" s="287"/>
      <c r="J108" s="287"/>
      <c r="K108" s="287"/>
    </row>
    <row r="109" spans="1:19" x14ac:dyDescent="0.2">
      <c r="A109" s="37" t="s">
        <v>62</v>
      </c>
      <c r="B109" s="29"/>
      <c r="C109" s="300"/>
      <c r="D109" s="301"/>
      <c r="E109" s="301"/>
      <c r="F109" s="301"/>
      <c r="G109" s="301"/>
      <c r="H109" s="301"/>
      <c r="I109" s="301"/>
      <c r="J109" s="301"/>
      <c r="K109" s="301"/>
    </row>
    <row r="110" spans="1:19" x14ac:dyDescent="0.2">
      <c r="A110" s="21" t="s">
        <v>142</v>
      </c>
      <c r="B110" s="29" t="s">
        <v>10</v>
      </c>
      <c r="C110" s="302">
        <v>947</v>
      </c>
      <c r="D110" s="302">
        <v>353</v>
      </c>
      <c r="E110" s="302">
        <v>400</v>
      </c>
      <c r="F110" s="302">
        <v>400</v>
      </c>
      <c r="G110" s="302">
        <v>450</v>
      </c>
      <c r="H110" s="302">
        <v>420</v>
      </c>
      <c r="I110" s="302">
        <v>470</v>
      </c>
      <c r="J110" s="302">
        <f>K110-50</f>
        <v>450</v>
      </c>
      <c r="K110" s="302">
        <v>500</v>
      </c>
    </row>
    <row r="111" spans="1:19" x14ac:dyDescent="0.2">
      <c r="A111" s="21" t="s">
        <v>134</v>
      </c>
      <c r="B111" s="29" t="s">
        <v>29</v>
      </c>
      <c r="C111" s="302">
        <v>6.4569999999999999</v>
      </c>
      <c r="D111" s="302">
        <v>5.9</v>
      </c>
      <c r="E111" s="302">
        <v>6.1</v>
      </c>
      <c r="F111" s="302">
        <v>6.5</v>
      </c>
      <c r="G111" s="302">
        <v>7</v>
      </c>
      <c r="H111" s="302">
        <v>6.7</v>
      </c>
      <c r="I111" s="302">
        <v>7.2</v>
      </c>
      <c r="J111" s="302">
        <v>7</v>
      </c>
      <c r="K111" s="302">
        <v>7.5</v>
      </c>
    </row>
    <row r="112" spans="1:19" x14ac:dyDescent="0.2">
      <c r="A112" s="21" t="s">
        <v>135</v>
      </c>
      <c r="B112" s="29" t="s">
        <v>10</v>
      </c>
      <c r="C112" s="302">
        <v>1222</v>
      </c>
      <c r="D112" s="302">
        <v>1189</v>
      </c>
      <c r="E112" s="302">
        <v>1210</v>
      </c>
      <c r="F112" s="302">
        <f>G112-50</f>
        <v>1220.5</v>
      </c>
      <c r="G112" s="302">
        <f>E112*105%</f>
        <v>1270.5</v>
      </c>
      <c r="H112" s="302">
        <f>I112-50</f>
        <v>1284.0250000000001</v>
      </c>
      <c r="I112" s="302">
        <f>G112*105%</f>
        <v>1334.0250000000001</v>
      </c>
      <c r="J112" s="302">
        <f>K112-50</f>
        <v>1350.7262500000002</v>
      </c>
      <c r="K112" s="302">
        <f>I112*105%</f>
        <v>1400.7262500000002</v>
      </c>
    </row>
    <row r="113" spans="1:19" x14ac:dyDescent="0.2">
      <c r="A113" s="21" t="s">
        <v>83</v>
      </c>
      <c r="B113" s="29" t="s">
        <v>10</v>
      </c>
      <c r="C113" s="302">
        <v>1815</v>
      </c>
      <c r="D113" s="302">
        <v>1959.4</v>
      </c>
      <c r="E113" s="302">
        <v>1980</v>
      </c>
      <c r="F113" s="302">
        <f>G113-40</f>
        <v>1990</v>
      </c>
      <c r="G113" s="302">
        <v>2030</v>
      </c>
      <c r="H113" s="302">
        <f>I113-40</f>
        <v>2050.9</v>
      </c>
      <c r="I113" s="302">
        <f>G113*103%</f>
        <v>2090.9</v>
      </c>
      <c r="J113" s="302">
        <f>K113-40</f>
        <v>2113.627</v>
      </c>
      <c r="K113" s="302">
        <f>I113*103%</f>
        <v>2153.627</v>
      </c>
    </row>
    <row r="114" spans="1:19" ht="13.5" customHeight="1" x14ac:dyDescent="0.2">
      <c r="A114" s="21" t="s">
        <v>84</v>
      </c>
      <c r="B114" s="29" t="s">
        <v>10</v>
      </c>
      <c r="C114" s="302">
        <v>53195</v>
      </c>
      <c r="D114" s="302">
        <v>54722.6</v>
      </c>
      <c r="E114" s="302">
        <v>55230</v>
      </c>
      <c r="F114" s="302">
        <v>56700</v>
      </c>
      <c r="G114" s="302">
        <v>57500</v>
      </c>
      <c r="H114" s="302">
        <f>I114-800</f>
        <v>59575</v>
      </c>
      <c r="I114" s="302">
        <f>G114*105%</f>
        <v>60375</v>
      </c>
      <c r="J114" s="302">
        <f>K114-800</f>
        <v>62593.75</v>
      </c>
      <c r="K114" s="302">
        <f>I114*105%</f>
        <v>63393.75</v>
      </c>
    </row>
    <row r="115" spans="1:19" ht="12" customHeight="1" x14ac:dyDescent="0.2">
      <c r="A115" s="21" t="s">
        <v>85</v>
      </c>
      <c r="B115" s="29" t="s">
        <v>11</v>
      </c>
      <c r="C115" s="191">
        <v>869</v>
      </c>
      <c r="D115" s="303">
        <v>870</v>
      </c>
      <c r="E115" s="303">
        <v>900</v>
      </c>
      <c r="F115" s="303">
        <v>900</v>
      </c>
      <c r="G115" s="303">
        <v>950</v>
      </c>
      <c r="H115" s="303">
        <v>910</v>
      </c>
      <c r="I115" s="303">
        <v>970</v>
      </c>
      <c r="J115" s="303">
        <v>950</v>
      </c>
      <c r="K115" s="303">
        <v>1000</v>
      </c>
    </row>
    <row r="116" spans="1:19" x14ac:dyDescent="0.2">
      <c r="A116" s="37" t="s">
        <v>63</v>
      </c>
      <c r="B116" s="29"/>
      <c r="C116" s="67"/>
      <c r="D116" s="13"/>
      <c r="E116" s="31"/>
      <c r="F116" s="31"/>
      <c r="G116" s="31"/>
      <c r="H116" s="31"/>
      <c r="I116" s="31"/>
      <c r="J116" s="31"/>
      <c r="K116" s="31"/>
    </row>
    <row r="117" spans="1:19" ht="48" x14ac:dyDescent="0.2">
      <c r="A117" s="21" t="s">
        <v>137</v>
      </c>
      <c r="B117" s="29" t="s">
        <v>10</v>
      </c>
      <c r="C117" s="304">
        <v>173</v>
      </c>
      <c r="D117" s="305">
        <v>189</v>
      </c>
      <c r="E117" s="305">
        <v>190</v>
      </c>
      <c r="F117" s="305">
        <v>195</v>
      </c>
      <c r="G117" s="305">
        <v>200</v>
      </c>
      <c r="H117" s="305">
        <v>200</v>
      </c>
      <c r="I117" s="305">
        <v>210</v>
      </c>
      <c r="J117" s="305">
        <v>210</v>
      </c>
      <c r="K117" s="305">
        <v>220</v>
      </c>
    </row>
    <row r="118" spans="1:19" s="69" customFormat="1" ht="15" customHeight="1" x14ac:dyDescent="0.2">
      <c r="A118" s="21" t="s">
        <v>86</v>
      </c>
      <c r="B118" s="29" t="s">
        <v>10</v>
      </c>
      <c r="C118" s="191" t="s">
        <v>194</v>
      </c>
      <c r="D118" s="191" t="s">
        <v>194</v>
      </c>
      <c r="E118" s="191" t="s">
        <v>194</v>
      </c>
      <c r="F118" s="191" t="s">
        <v>194</v>
      </c>
      <c r="G118" s="191" t="s">
        <v>194</v>
      </c>
      <c r="H118" s="191" t="s">
        <v>194</v>
      </c>
      <c r="I118" s="191" t="s">
        <v>194</v>
      </c>
      <c r="J118" s="191" t="s">
        <v>194</v>
      </c>
      <c r="K118" s="191" t="s">
        <v>194</v>
      </c>
      <c r="L118" s="68"/>
      <c r="M118" s="68"/>
      <c r="N118" s="68"/>
      <c r="O118" s="68"/>
      <c r="P118" s="68"/>
      <c r="Q118" s="68"/>
      <c r="R118" s="68"/>
      <c r="S118" s="68"/>
    </row>
    <row r="119" spans="1:19" x14ac:dyDescent="0.2">
      <c r="A119" s="21" t="s">
        <v>133</v>
      </c>
      <c r="B119" s="29" t="s">
        <v>10</v>
      </c>
      <c r="C119" s="191">
        <v>4954.8</v>
      </c>
      <c r="D119" s="194">
        <v>1295.7</v>
      </c>
      <c r="E119" s="195">
        <v>5350</v>
      </c>
      <c r="F119" s="195">
        <f>G119-200</f>
        <v>5245</v>
      </c>
      <c r="G119" s="195">
        <v>5445</v>
      </c>
      <c r="H119" s="195">
        <f>I119-200</f>
        <v>6060</v>
      </c>
      <c r="I119" s="195">
        <v>6260</v>
      </c>
      <c r="J119" s="195">
        <f>K119-200</f>
        <v>6060</v>
      </c>
      <c r="K119" s="195">
        <v>6260</v>
      </c>
    </row>
    <row r="120" spans="1:19" x14ac:dyDescent="0.2">
      <c r="A120" s="21" t="s">
        <v>119</v>
      </c>
      <c r="B120" s="46" t="s">
        <v>10</v>
      </c>
      <c r="C120" s="191">
        <v>1</v>
      </c>
      <c r="D120" s="194" t="s">
        <v>194</v>
      </c>
      <c r="E120" s="195">
        <v>520</v>
      </c>
      <c r="F120" s="195">
        <f>G120-50</f>
        <v>830</v>
      </c>
      <c r="G120" s="195">
        <v>880</v>
      </c>
      <c r="H120" s="195">
        <f>I120-50</f>
        <v>960</v>
      </c>
      <c r="I120" s="195">
        <v>1010</v>
      </c>
      <c r="J120" s="195">
        <f>K120-50</f>
        <v>1650</v>
      </c>
      <c r="K120" s="195">
        <v>1700</v>
      </c>
    </row>
    <row r="121" spans="1:19" ht="24" x14ac:dyDescent="0.2">
      <c r="A121" s="21" t="s">
        <v>138</v>
      </c>
      <c r="B121" s="29" t="s">
        <v>10</v>
      </c>
      <c r="C121" s="191">
        <v>225.3</v>
      </c>
      <c r="D121" s="194">
        <v>80.5</v>
      </c>
      <c r="E121" s="195">
        <v>310</v>
      </c>
      <c r="F121" s="195">
        <f>G121-10</f>
        <v>313</v>
      </c>
      <c r="G121" s="195">
        <v>323</v>
      </c>
      <c r="H121" s="195">
        <f>I121-10</f>
        <v>360</v>
      </c>
      <c r="I121" s="195">
        <v>370</v>
      </c>
      <c r="J121" s="195">
        <f>K121-10</f>
        <v>360</v>
      </c>
      <c r="K121" s="195">
        <v>370</v>
      </c>
    </row>
    <row r="122" spans="1:19" x14ac:dyDescent="0.2">
      <c r="A122" s="21" t="s">
        <v>76</v>
      </c>
      <c r="B122" s="29" t="s">
        <v>10</v>
      </c>
      <c r="C122" s="191">
        <v>269.7</v>
      </c>
      <c r="D122" s="194">
        <f>C122*98.6%</f>
        <v>265.92419999999998</v>
      </c>
      <c r="E122" s="195">
        <f>D122*102%</f>
        <v>271.242684</v>
      </c>
      <c r="F122" s="195">
        <f>G122-10</f>
        <v>266.66753768000001</v>
      </c>
      <c r="G122" s="195">
        <f>E122*102%</f>
        <v>276.66753768000001</v>
      </c>
      <c r="H122" s="195">
        <f>I122-10</f>
        <v>272.20088843360003</v>
      </c>
      <c r="I122" s="195">
        <f>G122*102%</f>
        <v>282.20088843360003</v>
      </c>
      <c r="J122" s="195">
        <f>K122-10</f>
        <v>277.84490620227206</v>
      </c>
      <c r="K122" s="195">
        <f>I122*102%</f>
        <v>287.84490620227206</v>
      </c>
    </row>
    <row r="123" spans="1:19" x14ac:dyDescent="0.2">
      <c r="A123" s="21" t="s">
        <v>120</v>
      </c>
      <c r="B123" s="29" t="s">
        <v>10</v>
      </c>
      <c r="C123" s="185">
        <v>2581.6</v>
      </c>
      <c r="D123" s="194">
        <f>C123*94.7%</f>
        <v>2444.7752</v>
      </c>
      <c r="E123" s="195">
        <f>D123*102%</f>
        <v>2493.6707040000001</v>
      </c>
      <c r="F123" s="195">
        <f>G123-10</f>
        <v>2533.5441180800003</v>
      </c>
      <c r="G123" s="195">
        <f>E123*102%</f>
        <v>2543.5441180800003</v>
      </c>
      <c r="H123" s="195">
        <f>I123-10</f>
        <v>2584.4150004416006</v>
      </c>
      <c r="I123" s="195">
        <f>G123*102%</f>
        <v>2594.4150004416006</v>
      </c>
      <c r="J123" s="195">
        <f>K123-10</f>
        <v>2636.3033004504327</v>
      </c>
      <c r="K123" s="195">
        <f>I123*102%</f>
        <v>2646.3033004504327</v>
      </c>
    </row>
    <row r="124" spans="1:19" s="59" customFormat="1" x14ac:dyDescent="0.2">
      <c r="A124" s="21" t="s">
        <v>121</v>
      </c>
      <c r="B124" s="29" t="s">
        <v>10</v>
      </c>
      <c r="C124" s="193">
        <v>33.6</v>
      </c>
      <c r="D124" s="194">
        <v>32</v>
      </c>
      <c r="E124" s="195">
        <v>28</v>
      </c>
      <c r="F124" s="195">
        <v>28</v>
      </c>
      <c r="G124" s="195">
        <v>30</v>
      </c>
      <c r="H124" s="195">
        <v>28</v>
      </c>
      <c r="I124" s="195">
        <v>30</v>
      </c>
      <c r="J124" s="195">
        <v>28</v>
      </c>
      <c r="K124" s="195">
        <v>30</v>
      </c>
      <c r="L124" s="58"/>
      <c r="M124" s="58"/>
      <c r="N124" s="58"/>
      <c r="O124" s="58"/>
      <c r="P124" s="58"/>
      <c r="Q124" s="58"/>
      <c r="R124" s="58"/>
      <c r="S124" s="58"/>
    </row>
    <row r="125" spans="1:19" s="66" customFormat="1" hidden="1" x14ac:dyDescent="0.2">
      <c r="A125" s="21" t="s">
        <v>139</v>
      </c>
      <c r="B125" s="29" t="s">
        <v>4</v>
      </c>
      <c r="C125" s="192"/>
      <c r="D125" s="196"/>
      <c r="E125" s="195"/>
      <c r="F125" s="195"/>
      <c r="G125" s="195"/>
      <c r="H125" s="195"/>
      <c r="I125" s="195"/>
      <c r="J125" s="195"/>
      <c r="K125" s="195"/>
      <c r="L125" s="65"/>
      <c r="M125" s="65"/>
      <c r="N125" s="65"/>
      <c r="O125" s="65"/>
      <c r="P125" s="65"/>
      <c r="Q125" s="65"/>
      <c r="R125" s="65"/>
      <c r="S125" s="65"/>
    </row>
    <row r="126" spans="1:19" s="66" customFormat="1" hidden="1" x14ac:dyDescent="0.2">
      <c r="A126" s="21" t="s">
        <v>70</v>
      </c>
      <c r="B126" s="33" t="s">
        <v>16</v>
      </c>
      <c r="C126" s="191"/>
      <c r="D126" s="194"/>
      <c r="E126" s="195"/>
      <c r="F126" s="195"/>
      <c r="G126" s="195"/>
      <c r="H126" s="195"/>
      <c r="I126" s="195"/>
      <c r="J126" s="195"/>
      <c r="K126" s="195"/>
      <c r="L126" s="65"/>
      <c r="M126" s="65"/>
      <c r="N126" s="65"/>
      <c r="O126" s="65"/>
      <c r="P126" s="65"/>
      <c r="Q126" s="65"/>
      <c r="R126" s="65"/>
      <c r="S126" s="65"/>
    </row>
    <row r="127" spans="1:19" s="66" customFormat="1" ht="24" hidden="1" x14ac:dyDescent="0.2">
      <c r="A127" s="21" t="s">
        <v>81</v>
      </c>
      <c r="B127" s="33" t="s">
        <v>16</v>
      </c>
      <c r="C127" s="191"/>
      <c r="D127" s="194"/>
      <c r="E127" s="195"/>
      <c r="F127" s="195"/>
      <c r="G127" s="195"/>
      <c r="H127" s="195"/>
      <c r="I127" s="195"/>
      <c r="J127" s="195"/>
      <c r="K127" s="195"/>
      <c r="L127" s="65"/>
      <c r="M127" s="65"/>
      <c r="N127" s="65"/>
      <c r="O127" s="65"/>
      <c r="P127" s="65"/>
      <c r="Q127" s="65"/>
      <c r="R127" s="65"/>
      <c r="S127" s="65"/>
    </row>
    <row r="128" spans="1:19" s="66" customFormat="1" ht="48.75" hidden="1" customHeight="1" x14ac:dyDescent="0.2">
      <c r="A128" s="21" t="s">
        <v>82</v>
      </c>
      <c r="B128" s="33" t="s">
        <v>16</v>
      </c>
      <c r="C128" s="191"/>
      <c r="D128" s="194"/>
      <c r="E128" s="195"/>
      <c r="F128" s="195"/>
      <c r="G128" s="195"/>
      <c r="H128" s="195"/>
      <c r="I128" s="195"/>
      <c r="J128" s="195"/>
      <c r="K128" s="195"/>
      <c r="L128" s="65"/>
      <c r="M128" s="65"/>
      <c r="N128" s="65"/>
      <c r="O128" s="65"/>
      <c r="P128" s="65"/>
      <c r="Q128" s="65"/>
      <c r="R128" s="65"/>
      <c r="S128" s="65"/>
    </row>
    <row r="129" spans="1:19" s="66" customFormat="1" hidden="1" x14ac:dyDescent="0.2">
      <c r="A129" s="21" t="s">
        <v>122</v>
      </c>
      <c r="B129" s="33" t="s">
        <v>16</v>
      </c>
      <c r="C129" s="191"/>
      <c r="D129" s="194"/>
      <c r="E129" s="195"/>
      <c r="F129" s="195"/>
      <c r="G129" s="195"/>
      <c r="H129" s="195"/>
      <c r="I129" s="195"/>
      <c r="J129" s="195"/>
      <c r="K129" s="195"/>
      <c r="L129" s="65"/>
      <c r="M129" s="65"/>
      <c r="N129" s="65"/>
      <c r="O129" s="65"/>
      <c r="P129" s="65"/>
      <c r="Q129" s="65"/>
      <c r="R129" s="65"/>
      <c r="S129" s="65"/>
    </row>
    <row r="130" spans="1:19" s="72" customFormat="1" x14ac:dyDescent="0.2">
      <c r="A130" s="32" t="s">
        <v>136</v>
      </c>
      <c r="B130" s="33" t="s">
        <v>50</v>
      </c>
      <c r="C130" s="193">
        <v>599</v>
      </c>
      <c r="D130" s="194">
        <v>593.4</v>
      </c>
      <c r="E130" s="80">
        <f>D130*103%</f>
        <v>611.202</v>
      </c>
      <c r="F130" s="80">
        <f>E130*101%</f>
        <v>617.31402000000003</v>
      </c>
      <c r="G130" s="80">
        <f>E130*103%</f>
        <v>629.53805999999997</v>
      </c>
      <c r="H130" s="80">
        <f>F130*102%</f>
        <v>629.66030039999998</v>
      </c>
      <c r="I130" s="80">
        <f>G130*103%</f>
        <v>648.42420179999999</v>
      </c>
      <c r="J130" s="80">
        <f>H130*102%</f>
        <v>642.25350640800002</v>
      </c>
      <c r="K130" s="80">
        <f>I130*103%</f>
        <v>667.87692785399997</v>
      </c>
      <c r="L130" s="71"/>
      <c r="M130" s="71"/>
      <c r="N130" s="71"/>
      <c r="O130" s="71"/>
      <c r="P130" s="71"/>
      <c r="Q130" s="71"/>
      <c r="R130" s="71"/>
      <c r="S130" s="71"/>
    </row>
    <row r="131" spans="1:19" s="72" customFormat="1" ht="46.5" customHeight="1" x14ac:dyDescent="0.2">
      <c r="A131" s="52" t="s">
        <v>140</v>
      </c>
      <c r="B131" s="38" t="s">
        <v>8</v>
      </c>
      <c r="C131" s="200">
        <v>262</v>
      </c>
      <c r="D131" s="201">
        <v>249.5</v>
      </c>
      <c r="E131" s="205">
        <v>469.5</v>
      </c>
      <c r="F131" s="205">
        <f>G131-10</f>
        <v>470</v>
      </c>
      <c r="G131" s="205">
        <v>480</v>
      </c>
      <c r="H131" s="205">
        <f>I131-10</f>
        <v>589.70000000000005</v>
      </c>
      <c r="I131" s="205">
        <v>599.70000000000005</v>
      </c>
      <c r="J131" s="205">
        <f>K131-10</f>
        <v>599</v>
      </c>
      <c r="K131" s="205">
        <v>609</v>
      </c>
      <c r="L131" s="71"/>
      <c r="M131" s="71"/>
      <c r="N131" s="71"/>
      <c r="O131" s="71"/>
      <c r="P131" s="71"/>
      <c r="Q131" s="71"/>
      <c r="R131" s="71"/>
      <c r="S131" s="71"/>
    </row>
    <row r="132" spans="1:19" s="72" customFormat="1" x14ac:dyDescent="0.2">
      <c r="A132" s="32" t="s">
        <v>123</v>
      </c>
      <c r="B132" s="38" t="s">
        <v>8</v>
      </c>
      <c r="C132" s="200">
        <v>265.7</v>
      </c>
      <c r="D132" s="201">
        <v>249.5</v>
      </c>
      <c r="E132" s="205">
        <v>469.5</v>
      </c>
      <c r="F132" s="205">
        <f>G132-10</f>
        <v>470</v>
      </c>
      <c r="G132" s="205">
        <v>480</v>
      </c>
      <c r="H132" s="205">
        <f>I132-10</f>
        <v>589.70000000000005</v>
      </c>
      <c r="I132" s="205">
        <v>599.70000000000005</v>
      </c>
      <c r="J132" s="205">
        <f>K132-10</f>
        <v>599</v>
      </c>
      <c r="K132" s="205">
        <v>609</v>
      </c>
      <c r="L132" s="71"/>
      <c r="M132" s="71"/>
      <c r="N132" s="71"/>
      <c r="O132" s="71"/>
      <c r="P132" s="71"/>
      <c r="Q132" s="71"/>
      <c r="R132" s="71"/>
      <c r="S132" s="71"/>
    </row>
    <row r="133" spans="1:19" s="72" customFormat="1" x14ac:dyDescent="0.2">
      <c r="A133" s="32" t="s">
        <v>124</v>
      </c>
      <c r="B133" s="38" t="s">
        <v>8</v>
      </c>
      <c r="C133" s="200">
        <v>9</v>
      </c>
      <c r="D133" s="206">
        <v>10</v>
      </c>
      <c r="E133" s="206">
        <v>10</v>
      </c>
      <c r="F133" s="205">
        <v>9</v>
      </c>
      <c r="G133" s="206">
        <v>10</v>
      </c>
      <c r="H133" s="205">
        <v>9</v>
      </c>
      <c r="I133" s="206">
        <v>10</v>
      </c>
      <c r="J133" s="205">
        <v>9</v>
      </c>
      <c r="K133" s="206">
        <v>10</v>
      </c>
      <c r="L133" s="71"/>
      <c r="M133" s="71"/>
      <c r="N133" s="71"/>
      <c r="O133" s="71"/>
      <c r="P133" s="71"/>
      <c r="Q133" s="71"/>
      <c r="R133" s="71"/>
      <c r="S133" s="71"/>
    </row>
    <row r="134" spans="1:19" s="72" customFormat="1" x14ac:dyDescent="0.2">
      <c r="A134" s="32" t="s">
        <v>125</v>
      </c>
      <c r="B134" s="33" t="s">
        <v>50</v>
      </c>
      <c r="C134" s="200">
        <v>0.35</v>
      </c>
      <c r="D134" s="201">
        <v>1.2</v>
      </c>
      <c r="E134" s="205">
        <v>34</v>
      </c>
      <c r="F134" s="203">
        <v>34</v>
      </c>
      <c r="G134" s="205">
        <v>36</v>
      </c>
      <c r="H134" s="203">
        <v>35</v>
      </c>
      <c r="I134" s="203">
        <v>38</v>
      </c>
      <c r="J134" s="203">
        <v>37</v>
      </c>
      <c r="K134" s="205">
        <f>I134*105.56%</f>
        <v>40.112800000000007</v>
      </c>
      <c r="L134" s="71"/>
      <c r="M134" s="71"/>
      <c r="N134" s="71"/>
      <c r="O134" s="71"/>
      <c r="P134" s="71"/>
      <c r="Q134" s="71"/>
      <c r="R134" s="71"/>
      <c r="S134" s="71"/>
    </row>
    <row r="135" spans="1:19" s="72" customFormat="1" x14ac:dyDescent="0.2">
      <c r="A135" s="32" t="s">
        <v>143</v>
      </c>
      <c r="B135" s="33" t="s">
        <v>50</v>
      </c>
      <c r="C135" s="202">
        <v>81.2</v>
      </c>
      <c r="D135" s="201">
        <v>110.5</v>
      </c>
      <c r="E135" s="205">
        <v>112</v>
      </c>
      <c r="F135" s="205">
        <f>E135*101%</f>
        <v>113.12</v>
      </c>
      <c r="G135" s="205">
        <f>E135*103%</f>
        <v>115.36</v>
      </c>
      <c r="H135" s="205">
        <f>F135*101%</f>
        <v>114.25120000000001</v>
      </c>
      <c r="I135" s="205">
        <f>G135*103%</f>
        <v>118.82080000000001</v>
      </c>
      <c r="J135" s="205">
        <f>H135*101%</f>
        <v>115.39371200000001</v>
      </c>
      <c r="K135" s="205">
        <f>I135*103%</f>
        <v>122.38542400000001</v>
      </c>
      <c r="L135" s="71"/>
      <c r="M135" s="71"/>
      <c r="N135" s="71"/>
      <c r="O135" s="71"/>
      <c r="P135" s="71"/>
      <c r="Q135" s="71"/>
      <c r="R135" s="71"/>
      <c r="S135" s="71"/>
    </row>
    <row r="136" spans="1:19" s="66" customFormat="1" hidden="1" x14ac:dyDescent="0.2">
      <c r="A136" s="21" t="s">
        <v>71</v>
      </c>
      <c r="B136" s="38" t="s">
        <v>8</v>
      </c>
      <c r="C136" s="67"/>
      <c r="D136" s="13"/>
      <c r="E136" s="31"/>
      <c r="F136" s="31"/>
      <c r="G136" s="31"/>
      <c r="H136" s="31"/>
      <c r="I136" s="31"/>
      <c r="J136" s="31"/>
      <c r="K136" s="31"/>
      <c r="L136" s="65"/>
      <c r="M136" s="65"/>
      <c r="N136" s="65"/>
      <c r="O136" s="65"/>
      <c r="P136" s="65"/>
      <c r="Q136" s="65"/>
      <c r="R136" s="65"/>
      <c r="S136" s="65"/>
    </row>
    <row r="137" spans="1:19" s="66" customFormat="1" hidden="1" x14ac:dyDescent="0.2">
      <c r="A137" s="21" t="s">
        <v>126</v>
      </c>
      <c r="B137" s="38" t="s">
        <v>4</v>
      </c>
      <c r="C137" s="67"/>
      <c r="D137" s="13"/>
      <c r="E137" s="31"/>
      <c r="F137" s="31"/>
      <c r="G137" s="31"/>
      <c r="H137" s="31"/>
      <c r="I137" s="31"/>
      <c r="J137" s="31"/>
      <c r="K137" s="31"/>
      <c r="L137" s="65"/>
      <c r="M137" s="65"/>
      <c r="N137" s="65"/>
      <c r="O137" s="65"/>
      <c r="P137" s="65"/>
      <c r="Q137" s="65"/>
      <c r="R137" s="65"/>
      <c r="S137" s="65"/>
    </row>
    <row r="138" spans="1:19" s="66" customFormat="1" hidden="1" x14ac:dyDescent="0.2">
      <c r="A138" s="21" t="s">
        <v>72</v>
      </c>
      <c r="B138" s="38" t="s">
        <v>4</v>
      </c>
      <c r="C138" s="67"/>
      <c r="D138" s="13"/>
      <c r="E138" s="31"/>
      <c r="F138" s="31"/>
      <c r="G138" s="31"/>
      <c r="H138" s="31"/>
      <c r="I138" s="31"/>
      <c r="J138" s="31"/>
      <c r="K138" s="31"/>
      <c r="L138" s="65"/>
      <c r="M138" s="65"/>
      <c r="N138" s="65"/>
      <c r="O138" s="65"/>
      <c r="P138" s="65"/>
      <c r="Q138" s="65"/>
      <c r="R138" s="65"/>
      <c r="S138" s="65"/>
    </row>
    <row r="139" spans="1:19" s="66" customFormat="1" hidden="1" x14ac:dyDescent="0.2">
      <c r="A139" s="21" t="s">
        <v>73</v>
      </c>
      <c r="B139" s="38" t="s">
        <v>4</v>
      </c>
      <c r="C139" s="67"/>
      <c r="D139" s="13"/>
      <c r="E139" s="31"/>
      <c r="F139" s="31"/>
      <c r="G139" s="31"/>
      <c r="H139" s="31"/>
      <c r="I139" s="31"/>
      <c r="J139" s="31"/>
      <c r="K139" s="31"/>
      <c r="L139" s="65"/>
      <c r="M139" s="65"/>
      <c r="N139" s="65"/>
      <c r="O139" s="65"/>
      <c r="P139" s="65"/>
      <c r="Q139" s="65"/>
      <c r="R139" s="65"/>
      <c r="S139" s="65"/>
    </row>
    <row r="140" spans="1:19" s="66" customFormat="1" hidden="1" x14ac:dyDescent="0.2">
      <c r="A140" s="47" t="s">
        <v>127</v>
      </c>
      <c r="B140" s="38" t="s">
        <v>10</v>
      </c>
      <c r="C140" s="67"/>
      <c r="D140" s="13"/>
      <c r="E140" s="31"/>
      <c r="F140" s="31"/>
      <c r="G140" s="31"/>
      <c r="H140" s="31"/>
      <c r="I140" s="31"/>
      <c r="J140" s="31"/>
      <c r="K140" s="31"/>
      <c r="L140" s="65"/>
      <c r="M140" s="65"/>
      <c r="N140" s="65"/>
      <c r="O140" s="65"/>
      <c r="P140" s="65"/>
      <c r="Q140" s="65"/>
      <c r="R140" s="65"/>
      <c r="S140" s="65"/>
    </row>
    <row r="141" spans="1:19" s="66" customFormat="1" ht="24" hidden="1" x14ac:dyDescent="0.2">
      <c r="A141" s="21" t="s">
        <v>74</v>
      </c>
      <c r="B141" s="38" t="s">
        <v>4</v>
      </c>
      <c r="C141" s="52"/>
      <c r="D141" s="13"/>
      <c r="E141" s="31"/>
      <c r="F141" s="31"/>
      <c r="G141" s="31"/>
      <c r="H141" s="31"/>
      <c r="I141" s="31"/>
      <c r="J141" s="31"/>
      <c r="K141" s="31"/>
      <c r="L141" s="65"/>
      <c r="M141" s="65"/>
      <c r="N141" s="65"/>
      <c r="O141" s="65"/>
      <c r="P141" s="65"/>
      <c r="Q141" s="65"/>
      <c r="R141" s="65"/>
      <c r="S141" s="65"/>
    </row>
    <row r="142" spans="1:19" s="66" customFormat="1" ht="24" hidden="1" x14ac:dyDescent="0.2">
      <c r="A142" s="21" t="s">
        <v>75</v>
      </c>
      <c r="B142" s="22" t="s">
        <v>17</v>
      </c>
      <c r="C142" s="67"/>
      <c r="D142" s="13"/>
      <c r="E142" s="31"/>
      <c r="F142" s="31"/>
      <c r="G142" s="31"/>
      <c r="H142" s="31"/>
      <c r="I142" s="31"/>
      <c r="J142" s="31"/>
      <c r="K142" s="31"/>
      <c r="L142" s="65"/>
      <c r="M142" s="65"/>
      <c r="N142" s="65"/>
      <c r="O142" s="65"/>
      <c r="P142" s="65"/>
      <c r="Q142" s="65"/>
      <c r="R142" s="65"/>
      <c r="S142" s="65"/>
    </row>
    <row r="143" spans="1:19" s="66" customFormat="1" hidden="1" x14ac:dyDescent="0.2">
      <c r="A143" s="21" t="s">
        <v>129</v>
      </c>
      <c r="B143" s="38" t="s">
        <v>8</v>
      </c>
      <c r="C143" s="52"/>
      <c r="D143" s="13"/>
      <c r="E143" s="31"/>
      <c r="F143" s="31"/>
      <c r="G143" s="31"/>
      <c r="H143" s="31"/>
      <c r="I143" s="31"/>
      <c r="J143" s="31"/>
      <c r="K143" s="31"/>
      <c r="L143" s="65"/>
      <c r="M143" s="65"/>
      <c r="N143" s="65"/>
      <c r="O143" s="65"/>
      <c r="P143" s="65"/>
      <c r="Q143" s="65"/>
      <c r="R143" s="65"/>
      <c r="S143" s="65"/>
    </row>
    <row r="144" spans="1:19" s="72" customFormat="1" hidden="1" x14ac:dyDescent="0.2">
      <c r="A144" s="21" t="s">
        <v>128</v>
      </c>
      <c r="B144" s="38" t="s">
        <v>8</v>
      </c>
      <c r="C144" s="70"/>
      <c r="D144" s="13"/>
      <c r="E144" s="26"/>
      <c r="F144" s="26"/>
      <c r="G144" s="26"/>
      <c r="H144" s="26"/>
      <c r="I144" s="26"/>
      <c r="J144" s="26"/>
      <c r="K144" s="26"/>
      <c r="L144" s="71"/>
      <c r="M144" s="71"/>
      <c r="N144" s="71"/>
      <c r="O144" s="71"/>
      <c r="P144" s="71"/>
      <c r="Q144" s="71"/>
      <c r="R144" s="71"/>
      <c r="S144" s="71"/>
    </row>
    <row r="145" spans="1:19" s="66" customFormat="1" hidden="1" x14ac:dyDescent="0.2">
      <c r="A145" s="21" t="s">
        <v>87</v>
      </c>
      <c r="B145" s="38" t="s">
        <v>29</v>
      </c>
      <c r="C145" s="67"/>
      <c r="D145" s="13"/>
      <c r="E145" s="31"/>
      <c r="F145" s="31"/>
      <c r="G145" s="31"/>
      <c r="H145" s="31"/>
      <c r="I145" s="31"/>
      <c r="J145" s="31"/>
      <c r="K145" s="31"/>
      <c r="L145" s="65"/>
      <c r="M145" s="65"/>
      <c r="N145" s="65"/>
      <c r="O145" s="65"/>
      <c r="P145" s="65"/>
      <c r="Q145" s="65"/>
      <c r="R145" s="65"/>
      <c r="S145" s="65"/>
    </row>
    <row r="146" spans="1:19" s="66" customFormat="1" hidden="1" x14ac:dyDescent="0.2">
      <c r="A146" s="21" t="s">
        <v>51</v>
      </c>
      <c r="B146" s="38" t="s">
        <v>29</v>
      </c>
      <c r="C146" s="70"/>
      <c r="D146" s="13"/>
      <c r="E146" s="31"/>
      <c r="F146" s="31"/>
      <c r="G146" s="31"/>
      <c r="H146" s="31"/>
      <c r="I146" s="31"/>
      <c r="J146" s="31"/>
      <c r="K146" s="31"/>
      <c r="L146" s="65"/>
      <c r="M146" s="65"/>
      <c r="N146" s="65"/>
      <c r="O146" s="65"/>
      <c r="P146" s="65"/>
      <c r="Q146" s="65"/>
      <c r="R146" s="65"/>
      <c r="S146" s="65"/>
    </row>
    <row r="147" spans="1:19" s="66" customFormat="1" hidden="1" x14ac:dyDescent="0.2">
      <c r="A147" s="21" t="s">
        <v>130</v>
      </c>
      <c r="B147" s="38" t="s">
        <v>33</v>
      </c>
      <c r="C147" s="70"/>
      <c r="D147" s="13"/>
      <c r="E147" s="31"/>
      <c r="F147" s="31"/>
      <c r="G147" s="31"/>
      <c r="H147" s="31"/>
      <c r="I147" s="31"/>
      <c r="J147" s="31"/>
      <c r="K147" s="31"/>
      <c r="L147" s="65"/>
      <c r="M147" s="65"/>
      <c r="N147" s="65"/>
      <c r="O147" s="65"/>
      <c r="P147" s="65"/>
      <c r="Q147" s="65"/>
      <c r="R147" s="65"/>
      <c r="S147" s="65"/>
    </row>
    <row r="148" spans="1:19" s="66" customFormat="1" hidden="1" x14ac:dyDescent="0.2">
      <c r="A148" s="21" t="s">
        <v>131</v>
      </c>
      <c r="B148" s="38" t="s">
        <v>32</v>
      </c>
      <c r="C148" s="67"/>
      <c r="D148" s="13"/>
      <c r="E148" s="31"/>
      <c r="F148" s="31"/>
      <c r="G148" s="31"/>
      <c r="H148" s="31"/>
      <c r="I148" s="31"/>
      <c r="J148" s="31"/>
      <c r="K148" s="31"/>
      <c r="L148" s="65"/>
      <c r="M148" s="65"/>
      <c r="N148" s="65"/>
      <c r="O148" s="65"/>
      <c r="P148" s="65"/>
      <c r="Q148" s="65"/>
      <c r="R148" s="65"/>
      <c r="S148" s="65"/>
    </row>
    <row r="149" spans="1:19" s="66" customFormat="1" hidden="1" x14ac:dyDescent="0.2">
      <c r="A149" s="21" t="s">
        <v>141</v>
      </c>
      <c r="B149" s="33" t="s">
        <v>34</v>
      </c>
      <c r="C149" s="67"/>
      <c r="D149" s="13"/>
      <c r="E149" s="31"/>
      <c r="F149" s="31"/>
      <c r="G149" s="31"/>
      <c r="H149" s="31"/>
      <c r="I149" s="31"/>
      <c r="J149" s="31"/>
      <c r="K149" s="31"/>
      <c r="L149" s="65"/>
      <c r="M149" s="65"/>
      <c r="N149" s="65"/>
      <c r="O149" s="65"/>
      <c r="P149" s="65"/>
      <c r="Q149" s="65"/>
      <c r="R149" s="65"/>
      <c r="S149" s="65"/>
    </row>
    <row r="150" spans="1:19" s="66" customFormat="1" x14ac:dyDescent="0.2">
      <c r="A150" s="39" t="s">
        <v>9</v>
      </c>
      <c r="B150" s="33"/>
      <c r="C150" s="67"/>
      <c r="D150" s="13"/>
      <c r="E150" s="31"/>
      <c r="F150" s="31"/>
      <c r="G150" s="31"/>
      <c r="H150" s="31"/>
      <c r="I150" s="31"/>
      <c r="J150" s="31"/>
      <c r="K150" s="31"/>
      <c r="L150" s="65"/>
      <c r="M150" s="65"/>
      <c r="N150" s="65"/>
      <c r="O150" s="65"/>
      <c r="P150" s="65"/>
      <c r="Q150" s="65"/>
      <c r="R150" s="65"/>
      <c r="S150" s="65"/>
    </row>
    <row r="151" spans="1:19" ht="24" x14ac:dyDescent="0.2">
      <c r="A151" s="32" t="s">
        <v>20</v>
      </c>
      <c r="B151" s="33" t="s">
        <v>40</v>
      </c>
      <c r="C151" s="193">
        <v>4512.5</v>
      </c>
      <c r="D151" s="193">
        <v>5445.3289999999997</v>
      </c>
      <c r="E151" s="193">
        <v>6098.7684800000006</v>
      </c>
      <c r="F151" s="193">
        <v>6730.6206976000012</v>
      </c>
      <c r="G151" s="193">
        <v>6830.6206976000012</v>
      </c>
      <c r="H151" s="193">
        <v>7540.2951813120017</v>
      </c>
      <c r="I151" s="193">
        <v>7650.2951813120017</v>
      </c>
      <c r="J151" s="193">
        <v>8448.3306030694421</v>
      </c>
      <c r="K151" s="193">
        <v>8568.3306030694421</v>
      </c>
    </row>
    <row r="152" spans="1:19" s="69" customFormat="1" x14ac:dyDescent="0.2">
      <c r="A152" s="35" t="s">
        <v>21</v>
      </c>
      <c r="B152" s="33" t="s">
        <v>41</v>
      </c>
      <c r="C152" s="193"/>
      <c r="D152" s="193">
        <v>115.36530669533853</v>
      </c>
      <c r="E152" s="193">
        <v>104.38024231127683</v>
      </c>
      <c r="F152" s="193">
        <v>105.40623181096376</v>
      </c>
      <c r="G152" s="193">
        <v>107.3825503355705</v>
      </c>
      <c r="H152" s="193">
        <v>107.51412182481499</v>
      </c>
      <c r="I152" s="193">
        <v>107.48560460652592</v>
      </c>
      <c r="J152" s="193">
        <v>107.62962407001298</v>
      </c>
      <c r="K152" s="193">
        <v>107.58885686839579</v>
      </c>
      <c r="L152" s="68"/>
      <c r="M152" s="68"/>
      <c r="N152" s="68"/>
      <c r="O152" s="68"/>
      <c r="P152" s="68"/>
      <c r="Q152" s="68"/>
      <c r="R152" s="68"/>
      <c r="S152" s="68"/>
    </row>
    <row r="153" spans="1:19" s="69" customFormat="1" x14ac:dyDescent="0.2">
      <c r="A153" s="35" t="s">
        <v>22</v>
      </c>
      <c r="B153" s="33" t="s">
        <v>41</v>
      </c>
      <c r="C153" s="193"/>
      <c r="D153" s="193">
        <f>'Дефлятор базовый'!B96</f>
        <v>104.64212472369829</v>
      </c>
      <c r="E153" s="193">
        <f>'Дефлятор базовый'!C96</f>
        <v>107.33999999999999</v>
      </c>
      <c r="F153" s="193">
        <v>104.7</v>
      </c>
      <c r="G153" s="193">
        <f>'Дефлятор базовый'!D96</f>
        <v>104.26979999999999</v>
      </c>
      <c r="H153" s="193">
        <v>104.2</v>
      </c>
      <c r="I153" s="193">
        <f>'Дефлятор базовый'!E96</f>
        <v>104.2171</v>
      </c>
      <c r="J153" s="193">
        <v>104.1</v>
      </c>
      <c r="K153" s="193">
        <f>'Дефлятор базовый'!F96</f>
        <v>104.08999999999999</v>
      </c>
      <c r="L153" s="68"/>
      <c r="M153" s="68"/>
      <c r="N153" s="68"/>
      <c r="O153" s="68"/>
      <c r="P153" s="68"/>
      <c r="Q153" s="68"/>
      <c r="R153" s="68"/>
      <c r="S153" s="68"/>
    </row>
    <row r="154" spans="1:19" s="69" customFormat="1" ht="24" x14ac:dyDescent="0.2">
      <c r="A154" s="32" t="s">
        <v>23</v>
      </c>
      <c r="B154" s="33" t="s">
        <v>40</v>
      </c>
      <c r="C154" s="193">
        <v>416.5</v>
      </c>
      <c r="D154" s="193">
        <v>451.75599999999997</v>
      </c>
      <c r="E154" s="193">
        <v>465.30867999999998</v>
      </c>
      <c r="F154" s="193">
        <v>472.26794039999999</v>
      </c>
      <c r="G154" s="193">
        <v>479.26794039999999</v>
      </c>
      <c r="H154" s="193">
        <v>486.64597861200002</v>
      </c>
      <c r="I154" s="193">
        <v>493.64597861200002</v>
      </c>
      <c r="J154" s="193">
        <v>500.95535797036001</v>
      </c>
      <c r="K154" s="193">
        <v>508.45535797036001</v>
      </c>
      <c r="L154" s="68"/>
      <c r="M154" s="68"/>
      <c r="N154" s="68"/>
      <c r="O154" s="68"/>
      <c r="P154" s="68"/>
      <c r="Q154" s="68"/>
      <c r="R154" s="68"/>
      <c r="S154" s="68"/>
    </row>
    <row r="155" spans="1:19" s="69" customFormat="1" x14ac:dyDescent="0.2">
      <c r="A155" s="35" t="s">
        <v>24</v>
      </c>
      <c r="B155" s="33" t="s">
        <v>41</v>
      </c>
      <c r="C155" s="193"/>
      <c r="D155" s="193">
        <v>99.054635552851266</v>
      </c>
      <c r="E155" s="193">
        <v>96.261682242990659</v>
      </c>
      <c r="F155" s="193">
        <v>95.122420153595627</v>
      </c>
      <c r="G155" s="193">
        <v>96.895578551270006</v>
      </c>
      <c r="H155" s="193">
        <v>98.607144768644659</v>
      </c>
      <c r="I155" s="193">
        <v>98.564593301435423</v>
      </c>
      <c r="J155" s="193">
        <v>98.791178911405069</v>
      </c>
      <c r="K155" s="193">
        <v>98.848368522072931</v>
      </c>
      <c r="L155" s="68"/>
      <c r="M155" s="68"/>
      <c r="N155" s="68"/>
      <c r="O155" s="68"/>
      <c r="P155" s="68"/>
      <c r="Q155" s="68"/>
      <c r="R155" s="68"/>
      <c r="S155" s="68"/>
    </row>
    <row r="156" spans="1:19" x14ac:dyDescent="0.2">
      <c r="A156" s="35" t="s">
        <v>58</v>
      </c>
      <c r="B156" s="33" t="s">
        <v>41</v>
      </c>
      <c r="C156" s="75"/>
      <c r="D156" s="193">
        <f>'Дефлятор базовый'!B98</f>
        <v>109.51027575856924</v>
      </c>
      <c r="E156" s="193">
        <f>'Дефлятор базовый'!C98</f>
        <v>106.98</v>
      </c>
      <c r="F156" s="193">
        <v>106.7</v>
      </c>
      <c r="G156" s="193">
        <f>'Дефлятор базовый'!D98</f>
        <v>106.31399999999999</v>
      </c>
      <c r="H156" s="193">
        <v>104.5</v>
      </c>
      <c r="I156" s="193">
        <f>'Дефлятор базовый'!E98</f>
        <v>104.5</v>
      </c>
      <c r="J156" s="193">
        <v>104.2</v>
      </c>
      <c r="K156" s="193">
        <f>'Дефлятор базовый'!F98</f>
        <v>104.21000000000001</v>
      </c>
    </row>
    <row r="157" spans="1:19" x14ac:dyDescent="0.2">
      <c r="A157" s="32"/>
      <c r="B157" s="33"/>
      <c r="C157" s="75"/>
      <c r="D157" s="193"/>
      <c r="E157" s="193"/>
      <c r="F157" s="193"/>
      <c r="G157" s="193"/>
      <c r="H157" s="193"/>
      <c r="I157" s="193"/>
      <c r="J157" s="193"/>
      <c r="K157" s="193"/>
    </row>
    <row r="158" spans="1:19" x14ac:dyDescent="0.2">
      <c r="A158" s="40" t="s">
        <v>36</v>
      </c>
      <c r="B158" s="29"/>
      <c r="C158" s="75"/>
      <c r="D158" s="193"/>
      <c r="E158" s="193"/>
      <c r="F158" s="193"/>
      <c r="G158" s="193"/>
      <c r="H158" s="193"/>
      <c r="I158" s="193"/>
      <c r="J158" s="193"/>
      <c r="K158" s="193"/>
    </row>
    <row r="159" spans="1:19" x14ac:dyDescent="0.2">
      <c r="A159" s="21" t="s">
        <v>43</v>
      </c>
      <c r="B159" s="22" t="s">
        <v>39</v>
      </c>
      <c r="C159" s="75">
        <v>42.7</v>
      </c>
      <c r="D159" s="193">
        <v>36.509</v>
      </c>
      <c r="E159" s="193">
        <v>41.985349999999997</v>
      </c>
      <c r="F159" s="193">
        <v>36.046375499999996</v>
      </c>
      <c r="G159" s="193">
        <v>39.046375499999996</v>
      </c>
      <c r="H159" s="193">
        <v>40.903331824999995</v>
      </c>
      <c r="I159" s="193">
        <v>44.903331824999995</v>
      </c>
      <c r="J159" s="193">
        <v>37.76009859725</v>
      </c>
      <c r="K159" s="193">
        <v>41.76009859725</v>
      </c>
    </row>
    <row r="160" spans="1:19" s="69" customFormat="1" ht="24" x14ac:dyDescent="0.2">
      <c r="A160" s="35" t="s">
        <v>19</v>
      </c>
      <c r="B160" s="33" t="s">
        <v>3</v>
      </c>
      <c r="C160" s="75"/>
      <c r="D160" s="80">
        <v>80.358243383634715</v>
      </c>
      <c r="E160" s="80">
        <v>108.06891167336869</v>
      </c>
      <c r="F160" s="80">
        <v>81.071435780154118</v>
      </c>
      <c r="G160" s="80">
        <v>88.068181818181813</v>
      </c>
      <c r="H160" s="80">
        <v>108.17367758458636</v>
      </c>
      <c r="I160" s="80">
        <v>109.24445506041607</v>
      </c>
      <c r="J160" s="80">
        <v>88.509548597828655</v>
      </c>
      <c r="K160" s="80">
        <v>88.987100645252738</v>
      </c>
      <c r="L160" s="68"/>
      <c r="M160" s="68"/>
      <c r="N160" s="68"/>
      <c r="O160" s="68"/>
      <c r="P160" s="68"/>
      <c r="Q160" s="68"/>
      <c r="R160" s="68"/>
      <c r="S160" s="68"/>
    </row>
    <row r="161" spans="1:19" x14ac:dyDescent="0.2">
      <c r="A161" s="27" t="s">
        <v>12</v>
      </c>
      <c r="B161" s="33" t="s">
        <v>3</v>
      </c>
      <c r="C161" s="30"/>
      <c r="D161" s="287">
        <f>'Дефлятор базовый'!B93</f>
        <v>106.443170374801</v>
      </c>
      <c r="E161" s="287">
        <f>'Дефлятор базовый'!C93</f>
        <v>106.41358205547593</v>
      </c>
      <c r="F161" s="287">
        <v>105.9</v>
      </c>
      <c r="G161" s="287">
        <f>'Дефлятор базовый'!D93</f>
        <v>105.55146444861198</v>
      </c>
      <c r="H161" s="287">
        <v>104.9</v>
      </c>
      <c r="I161" s="287">
        <f>'Дефлятор базовый'!E93</f>
        <v>105.26850075493617</v>
      </c>
      <c r="J161" s="287">
        <v>104.3</v>
      </c>
      <c r="K161" s="287">
        <f>'Дефлятор базовый'!F93</f>
        <v>104.50952927519765</v>
      </c>
    </row>
    <row r="162" spans="1:19" s="69" customFormat="1" ht="24" x14ac:dyDescent="0.2">
      <c r="A162" s="28" t="s">
        <v>44</v>
      </c>
      <c r="B162" s="33" t="s">
        <v>42</v>
      </c>
      <c r="C162" s="75">
        <v>16594</v>
      </c>
      <c r="D162" s="75">
        <v>17606</v>
      </c>
      <c r="E162" s="76">
        <v>28810</v>
      </c>
      <c r="F162" s="76">
        <v>10000</v>
      </c>
      <c r="G162" s="76">
        <v>12000</v>
      </c>
      <c r="H162" s="76">
        <v>36002</v>
      </c>
      <c r="I162" s="76">
        <v>38002</v>
      </c>
      <c r="J162" s="76">
        <v>11000</v>
      </c>
      <c r="K162" s="76">
        <v>13000</v>
      </c>
      <c r="L162" s="68"/>
      <c r="M162" s="68"/>
      <c r="N162" s="68"/>
      <c r="O162" s="68"/>
      <c r="P162" s="68"/>
      <c r="Q162" s="68"/>
      <c r="R162" s="68"/>
      <c r="S162" s="68"/>
    </row>
    <row r="163" spans="1:19" s="69" customFormat="1" ht="24" x14ac:dyDescent="0.2">
      <c r="A163" s="32" t="s">
        <v>18</v>
      </c>
      <c r="B163" s="331" t="s">
        <v>40</v>
      </c>
      <c r="C163" s="286">
        <v>1386</v>
      </c>
      <c r="D163" s="76">
        <v>1379</v>
      </c>
      <c r="E163" s="76">
        <v>2200</v>
      </c>
      <c r="F163" s="76">
        <f>G163-200</f>
        <v>3000</v>
      </c>
      <c r="G163" s="76">
        <v>3200</v>
      </c>
      <c r="H163" s="76">
        <f>I163-200</f>
        <v>2300</v>
      </c>
      <c r="I163" s="76">
        <v>2500</v>
      </c>
      <c r="J163" s="76">
        <f>K163-200</f>
        <v>2100</v>
      </c>
      <c r="K163" s="76">
        <v>2300</v>
      </c>
      <c r="L163" s="68"/>
      <c r="M163" s="68"/>
      <c r="N163" s="68"/>
      <c r="O163" s="68"/>
      <c r="P163" s="68"/>
      <c r="Q163" s="68"/>
      <c r="R163" s="68"/>
      <c r="S163" s="68"/>
    </row>
    <row r="164" spans="1:19" ht="24" x14ac:dyDescent="0.2">
      <c r="A164" s="35" t="s">
        <v>19</v>
      </c>
      <c r="B164" s="33" t="s">
        <v>3</v>
      </c>
      <c r="C164" s="30"/>
      <c r="D164" s="287">
        <v>91.199057957640377</v>
      </c>
      <c r="E164" s="287">
        <v>147.13305676010853</v>
      </c>
      <c r="F164" s="287">
        <v>126.96800406297612</v>
      </c>
      <c r="G164" s="287">
        <v>135.55875624841144</v>
      </c>
      <c r="H164" s="287">
        <v>73.015873015873012</v>
      </c>
      <c r="I164" s="287">
        <v>74.171025597346187</v>
      </c>
      <c r="J164" s="287">
        <v>87.540122556171596</v>
      </c>
      <c r="K164" s="287">
        <v>88.105862827042657</v>
      </c>
    </row>
    <row r="165" spans="1:19" x14ac:dyDescent="0.2">
      <c r="A165" s="27" t="s">
        <v>12</v>
      </c>
      <c r="B165" s="33" t="s">
        <v>3</v>
      </c>
      <c r="C165" s="30"/>
      <c r="D165" s="287">
        <f>'Дефлятор базовый'!B90</f>
        <v>109.09646626082731</v>
      </c>
      <c r="E165" s="287">
        <f>'Дефлятор базовый'!C90</f>
        <v>108.42967521338068</v>
      </c>
      <c r="F165" s="287">
        <v>107.4</v>
      </c>
      <c r="G165" s="287">
        <f>'Дефлятор базовый'!D90</f>
        <v>107.27004884024396</v>
      </c>
      <c r="H165" s="287">
        <v>105</v>
      </c>
      <c r="I165" s="287">
        <f>'Дефлятор базовый'!E90</f>
        <v>105.33088813429497</v>
      </c>
      <c r="J165" s="287">
        <v>104.3</v>
      </c>
      <c r="K165" s="287">
        <f>'Дефлятор базовый'!F90</f>
        <v>104.41983887111097</v>
      </c>
    </row>
    <row r="166" spans="1:19" s="69" customFormat="1" ht="24" x14ac:dyDescent="0.2">
      <c r="A166" s="28" t="s">
        <v>45</v>
      </c>
      <c r="B166" s="33" t="s">
        <v>30</v>
      </c>
      <c r="C166" s="311">
        <f>'Сроки ввода'!Q55</f>
        <v>5</v>
      </c>
      <c r="D166" s="311">
        <f>'Сроки ввода'!R55</f>
        <v>3</v>
      </c>
      <c r="E166" s="311">
        <f>'Сроки ввода'!S55</f>
        <v>11</v>
      </c>
      <c r="F166" s="312">
        <f>G166</f>
        <v>11</v>
      </c>
      <c r="G166" s="312">
        <f>'Сроки ввода'!T55</f>
        <v>11</v>
      </c>
      <c r="H166" s="312">
        <f>I166</f>
        <v>3</v>
      </c>
      <c r="I166" s="312">
        <f>'Сроки ввода'!U55</f>
        <v>3</v>
      </c>
      <c r="J166" s="312">
        <f>K166</f>
        <v>2</v>
      </c>
      <c r="K166" s="312">
        <f>'Сроки ввода'!V55</f>
        <v>2</v>
      </c>
      <c r="L166" s="68"/>
      <c r="M166" s="68"/>
      <c r="N166" s="68"/>
      <c r="O166" s="68"/>
      <c r="P166" s="68"/>
      <c r="Q166" s="68"/>
      <c r="R166" s="68"/>
      <c r="S166" s="68"/>
    </row>
    <row r="167" spans="1:19" s="69" customFormat="1" x14ac:dyDescent="0.2">
      <c r="A167" s="28" t="s">
        <v>53</v>
      </c>
      <c r="B167" s="33" t="s">
        <v>31</v>
      </c>
      <c r="C167" s="286">
        <f>'Ввод новых ОФ'!Q65</f>
        <v>343.49799999999999</v>
      </c>
      <c r="D167" s="286">
        <f>'Ввод новых ОФ'!R65</f>
        <v>415.46999999999997</v>
      </c>
      <c r="E167" s="286">
        <f>'Ввод новых ОФ'!S65</f>
        <v>1574.8150000000001</v>
      </c>
      <c r="F167" s="76">
        <f>G167</f>
        <v>2813.9900000000002</v>
      </c>
      <c r="G167" s="76">
        <f>'Ввод новых ОФ'!T65</f>
        <v>2813.9900000000002</v>
      </c>
      <c r="H167" s="76">
        <f>I167</f>
        <v>174.053</v>
      </c>
      <c r="I167" s="76">
        <f>'Ввод новых ОФ'!U65</f>
        <v>174.053</v>
      </c>
      <c r="J167" s="76">
        <f>K167</f>
        <v>35.652999999999999</v>
      </c>
      <c r="K167" s="76">
        <f>'Ввод новых ОФ'!V65</f>
        <v>35.652999999999999</v>
      </c>
      <c r="L167" s="68"/>
      <c r="M167" s="68"/>
      <c r="N167" s="68"/>
      <c r="O167" s="68"/>
      <c r="P167" s="68"/>
      <c r="Q167" s="68"/>
      <c r="R167" s="68"/>
      <c r="S167" s="68"/>
    </row>
    <row r="168" spans="1:19" s="69" customFormat="1" x14ac:dyDescent="0.2">
      <c r="A168" s="28"/>
      <c r="B168" s="33"/>
      <c r="C168" s="30"/>
      <c r="D168" s="26"/>
      <c r="E168" s="26"/>
      <c r="F168" s="26"/>
      <c r="G168" s="26"/>
      <c r="H168" s="26"/>
      <c r="I168" s="26"/>
      <c r="J168" s="26"/>
      <c r="K168" s="26"/>
      <c r="L168" s="68"/>
      <c r="M168" s="68"/>
      <c r="N168" s="68"/>
      <c r="O168" s="68"/>
      <c r="P168" s="68"/>
      <c r="Q168" s="68"/>
      <c r="R168" s="68"/>
      <c r="S168" s="68"/>
    </row>
    <row r="169" spans="1:19" s="69" customFormat="1" ht="24" x14ac:dyDescent="0.2">
      <c r="A169" s="28" t="s">
        <v>78</v>
      </c>
      <c r="B169" s="33" t="s">
        <v>31</v>
      </c>
      <c r="C169" s="81">
        <v>4193.3</v>
      </c>
      <c r="D169" s="75">
        <v>4277.1660000000002</v>
      </c>
      <c r="E169" s="75">
        <v>4362.7093199999999</v>
      </c>
      <c r="F169" s="75">
        <v>4406.3364131999997</v>
      </c>
      <c r="G169" s="75">
        <v>4449.9635064000004</v>
      </c>
      <c r="H169" s="75">
        <v>4450.3997773319998</v>
      </c>
      <c r="I169" s="75">
        <v>4538.9627765280002</v>
      </c>
      <c r="J169" s="75">
        <v>4517.155773991979</v>
      </c>
      <c r="K169" s="75">
        <v>4629.7420320585607</v>
      </c>
      <c r="L169" s="68"/>
      <c r="M169" s="68"/>
      <c r="N169" s="68"/>
      <c r="O169" s="68"/>
      <c r="P169" s="68"/>
      <c r="Q169" s="68"/>
      <c r="R169" s="68"/>
      <c r="S169" s="68"/>
    </row>
    <row r="170" spans="1:19" s="69" customFormat="1" x14ac:dyDescent="0.2">
      <c r="A170" s="28"/>
      <c r="B170" s="29" t="s">
        <v>35</v>
      </c>
      <c r="C170" s="30"/>
      <c r="D170" s="26">
        <f>D169/C169*100</f>
        <v>102</v>
      </c>
      <c r="E170" s="26">
        <f>E169/D169*100</f>
        <v>102</v>
      </c>
      <c r="F170" s="26">
        <f>F169/E169*100</f>
        <v>101</v>
      </c>
      <c r="G170" s="26">
        <f>G169/E169*100</f>
        <v>102</v>
      </c>
      <c r="H170" s="26">
        <f>H169/F169*100</f>
        <v>101</v>
      </c>
      <c r="I170" s="26">
        <f>I169/G169*100</f>
        <v>102</v>
      </c>
      <c r="J170" s="26">
        <f>J169/H169*100</f>
        <v>101.49999999999999</v>
      </c>
      <c r="K170" s="26">
        <f>K169/I169*100</f>
        <v>102</v>
      </c>
      <c r="L170" s="68"/>
      <c r="M170" s="68"/>
      <c r="N170" s="68"/>
      <c r="O170" s="68"/>
      <c r="P170" s="68"/>
      <c r="Q170" s="68"/>
      <c r="R170" s="68"/>
      <c r="S170" s="68"/>
    </row>
    <row r="171" spans="1:19" x14ac:dyDescent="0.2">
      <c r="A171" s="27" t="s">
        <v>77</v>
      </c>
      <c r="B171" s="33" t="s">
        <v>31</v>
      </c>
      <c r="C171" s="286">
        <v>1300</v>
      </c>
      <c r="D171" s="287">
        <v>1325.92146</v>
      </c>
      <c r="E171" s="287">
        <v>1352.4398891999999</v>
      </c>
      <c r="F171" s="287">
        <v>1365.9642880919998</v>
      </c>
      <c r="G171" s="287">
        <v>1379.4886869840002</v>
      </c>
      <c r="H171" s="287">
        <v>1379.6239309729199</v>
      </c>
      <c r="I171" s="287">
        <v>1407.0784607236801</v>
      </c>
      <c r="J171" s="287">
        <v>1400.3182899375136</v>
      </c>
      <c r="K171" s="287">
        <v>1435.2200299381539</v>
      </c>
    </row>
    <row r="172" spans="1:19" x14ac:dyDescent="0.2">
      <c r="A172" s="28"/>
      <c r="B172" s="29" t="s">
        <v>35</v>
      </c>
      <c r="C172" s="30"/>
      <c r="D172" s="76">
        <f>D171/C171*100</f>
        <v>101.99395846153847</v>
      </c>
      <c r="E172" s="76">
        <f>E171/D171*100</f>
        <v>102</v>
      </c>
      <c r="F172" s="76">
        <f>F171/E171*100</f>
        <v>101</v>
      </c>
      <c r="G172" s="76">
        <f>G171/E171*100</f>
        <v>102.00000000000003</v>
      </c>
      <c r="H172" s="76">
        <f>H171/F171*100</f>
        <v>101</v>
      </c>
      <c r="I172" s="76">
        <f>I171/G171*100</f>
        <v>102</v>
      </c>
      <c r="J172" s="76">
        <f>J171/H171*100</f>
        <v>101.49999999999999</v>
      </c>
      <c r="K172" s="76">
        <f>K171/I171*100</f>
        <v>102</v>
      </c>
    </row>
    <row r="173" spans="1:19" x14ac:dyDescent="0.2">
      <c r="A173" s="40" t="s">
        <v>26</v>
      </c>
      <c r="B173" s="29"/>
      <c r="C173" s="30"/>
      <c r="D173" s="31"/>
      <c r="E173" s="31"/>
      <c r="F173" s="31"/>
      <c r="G173" s="31"/>
      <c r="H173" s="31"/>
      <c r="I173" s="31"/>
      <c r="J173" s="43"/>
      <c r="K173" s="43"/>
    </row>
    <row r="174" spans="1:19" ht="36" x14ac:dyDescent="0.2">
      <c r="A174" s="28" t="s">
        <v>80</v>
      </c>
      <c r="B174" s="29" t="s">
        <v>2</v>
      </c>
      <c r="C174" s="286">
        <v>264.2</v>
      </c>
      <c r="D174" s="287">
        <v>253.7</v>
      </c>
      <c r="E174" s="287">
        <v>266.38499999999999</v>
      </c>
      <c r="F174" s="287">
        <v>263.02350000000001</v>
      </c>
      <c r="G174" s="287">
        <v>293.02350000000001</v>
      </c>
      <c r="H174" s="287">
        <v>292.32585000000006</v>
      </c>
      <c r="I174" s="287">
        <v>322.32585000000006</v>
      </c>
      <c r="J174" s="297">
        <v>324.55843500000009</v>
      </c>
      <c r="K174" s="287">
        <v>354.55843500000009</v>
      </c>
    </row>
    <row r="175" spans="1:19" s="66" customFormat="1" ht="36" x14ac:dyDescent="0.2">
      <c r="A175" s="28" t="s">
        <v>52</v>
      </c>
      <c r="B175" s="29" t="s">
        <v>2</v>
      </c>
      <c r="C175" s="286">
        <v>270.89999999999998</v>
      </c>
      <c r="D175" s="287">
        <v>260</v>
      </c>
      <c r="E175" s="287">
        <v>273</v>
      </c>
      <c r="F175" s="287">
        <v>276.65000000000003</v>
      </c>
      <c r="G175" s="287">
        <v>286.65000000000003</v>
      </c>
      <c r="H175" s="287">
        <v>296.71550000000008</v>
      </c>
      <c r="I175" s="287">
        <v>306.71550000000008</v>
      </c>
      <c r="J175" s="297">
        <v>321.25274000000013</v>
      </c>
      <c r="K175" s="287">
        <v>331.25274000000013</v>
      </c>
      <c r="L175" s="65"/>
      <c r="M175" s="65"/>
      <c r="N175" s="65"/>
      <c r="O175" s="65"/>
      <c r="P175" s="65"/>
      <c r="Q175" s="65"/>
      <c r="R175" s="65"/>
      <c r="S175" s="65"/>
    </row>
    <row r="176" spans="1:19" x14ac:dyDescent="0.2">
      <c r="A176" s="28" t="s">
        <v>61</v>
      </c>
      <c r="B176" s="29" t="s">
        <v>3</v>
      </c>
      <c r="C176" s="80">
        <v>70</v>
      </c>
      <c r="D176" s="44"/>
      <c r="E176" s="44"/>
      <c r="F176" s="44"/>
      <c r="G176" s="44"/>
      <c r="H176" s="44"/>
      <c r="I176" s="44"/>
      <c r="J176" s="45"/>
      <c r="K176" s="45"/>
    </row>
    <row r="177" spans="1:19" x14ac:dyDescent="0.2">
      <c r="A177" s="40" t="s">
        <v>25</v>
      </c>
      <c r="B177" s="29"/>
      <c r="C177" s="48"/>
      <c r="D177" s="49"/>
      <c r="E177" s="49"/>
      <c r="F177" s="49"/>
      <c r="G177" s="49"/>
      <c r="H177" s="49"/>
      <c r="I177" s="49"/>
      <c r="J177" s="49"/>
      <c r="K177" s="49"/>
    </row>
    <row r="178" spans="1:19" ht="24" x14ac:dyDescent="0.2">
      <c r="A178" s="53" t="s">
        <v>151</v>
      </c>
      <c r="B178" s="29" t="s">
        <v>6</v>
      </c>
      <c r="C178" s="77">
        <v>9771</v>
      </c>
      <c r="D178" s="79">
        <v>9649.3724999999995</v>
      </c>
      <c r="E178" s="79">
        <f>D178-100</f>
        <v>9549.3724999999995</v>
      </c>
      <c r="F178" s="79">
        <f>E178+40</f>
        <v>9589.3724999999995</v>
      </c>
      <c r="G178" s="79">
        <f>E178+70</f>
        <v>9619.3724999999995</v>
      </c>
      <c r="H178" s="79">
        <f>F178+40</f>
        <v>9629.3724999999995</v>
      </c>
      <c r="I178" s="79">
        <f>G178+70</f>
        <v>9689.3724999999995</v>
      </c>
      <c r="J178" s="79">
        <f>H178+40</f>
        <v>9669.3724999999995</v>
      </c>
      <c r="K178" s="79">
        <f>I178+70</f>
        <v>9759.3724999999995</v>
      </c>
    </row>
    <row r="179" spans="1:19" x14ac:dyDescent="0.2">
      <c r="A179" s="28"/>
      <c r="B179" s="29" t="s">
        <v>35</v>
      </c>
      <c r="C179" s="48"/>
      <c r="D179" s="78">
        <f>D178/C178*100</f>
        <v>98.755219527172244</v>
      </c>
      <c r="E179" s="78">
        <f>E178/D178*100</f>
        <v>98.963663181206869</v>
      </c>
      <c r="F179" s="78">
        <f>F178/E178*100</f>
        <v>100.41887569052312</v>
      </c>
      <c r="G179" s="78">
        <f>G178/E178*100</f>
        <v>100.73303245841547</v>
      </c>
      <c r="H179" s="78">
        <f>H178/F178*100</f>
        <v>100.41712844088599</v>
      </c>
      <c r="I179" s="78">
        <f>I178/G178*100</f>
        <v>100.72769819445084</v>
      </c>
      <c r="J179" s="78">
        <f>J178/H178*100</f>
        <v>100.41539570724885</v>
      </c>
      <c r="K179" s="78">
        <f>K178/I178*100</f>
        <v>100.72244100430652</v>
      </c>
    </row>
    <row r="180" spans="1:19" x14ac:dyDescent="0.2">
      <c r="A180" s="28" t="s">
        <v>92</v>
      </c>
      <c r="B180" s="29" t="s">
        <v>6</v>
      </c>
      <c r="C180" s="82">
        <f>C182+C183</f>
        <v>1867.8000000000002</v>
      </c>
      <c r="D180" s="82">
        <f t="shared" ref="D180:K180" si="2">D182+D183</f>
        <v>1844.4</v>
      </c>
      <c r="E180" s="82">
        <f t="shared" si="2"/>
        <v>1846.9</v>
      </c>
      <c r="F180" s="82">
        <f t="shared" si="2"/>
        <v>1848.1</v>
      </c>
      <c r="G180" s="82">
        <f t="shared" si="2"/>
        <v>1848.1</v>
      </c>
      <c r="H180" s="82">
        <f t="shared" si="2"/>
        <v>1848.1</v>
      </c>
      <c r="I180" s="82">
        <f t="shared" si="2"/>
        <v>1848.1</v>
      </c>
      <c r="J180" s="82">
        <f t="shared" si="2"/>
        <v>1848.1</v>
      </c>
      <c r="K180" s="82">
        <f t="shared" si="2"/>
        <v>1848.1</v>
      </c>
    </row>
    <row r="181" spans="1:19" x14ac:dyDescent="0.2">
      <c r="A181" s="28" t="s">
        <v>94</v>
      </c>
      <c r="B181" s="29"/>
      <c r="C181" s="81"/>
      <c r="D181" s="81"/>
      <c r="E181" s="81"/>
      <c r="F181" s="81"/>
      <c r="G181" s="81"/>
      <c r="H181" s="81"/>
      <c r="I181" s="81"/>
      <c r="J181" s="81"/>
      <c r="K181" s="81"/>
    </row>
    <row r="182" spans="1:19" x14ac:dyDescent="0.2">
      <c r="A182" s="27" t="s">
        <v>93</v>
      </c>
      <c r="B182" s="29" t="s">
        <v>6</v>
      </c>
      <c r="C182" s="82">
        <v>1668.9</v>
      </c>
      <c r="D182" s="82">
        <v>1646.5</v>
      </c>
      <c r="E182" s="82">
        <v>1648.8</v>
      </c>
      <c r="F182" s="82">
        <v>1648.8</v>
      </c>
      <c r="G182" s="82">
        <v>1648.8</v>
      </c>
      <c r="H182" s="82">
        <v>1648.8</v>
      </c>
      <c r="I182" s="82">
        <v>1648.8</v>
      </c>
      <c r="J182" s="82">
        <v>1648.8</v>
      </c>
      <c r="K182" s="82">
        <v>1648.8</v>
      </c>
    </row>
    <row r="183" spans="1:19" ht="24" x14ac:dyDescent="0.2">
      <c r="A183" s="27" t="s">
        <v>132</v>
      </c>
      <c r="B183" s="29" t="s">
        <v>6</v>
      </c>
      <c r="C183" s="82">
        <v>198.9</v>
      </c>
      <c r="D183" s="82">
        <f>29.6+168.3</f>
        <v>197.9</v>
      </c>
      <c r="E183" s="82">
        <f>29.8+168.3</f>
        <v>198.10000000000002</v>
      </c>
      <c r="F183" s="82">
        <f>31+168.3</f>
        <v>199.3</v>
      </c>
      <c r="G183" s="82">
        <f>31+168.3</f>
        <v>199.3</v>
      </c>
      <c r="H183" s="82">
        <f>31+168.3</f>
        <v>199.3</v>
      </c>
      <c r="I183" s="82">
        <f t="shared" ref="I183:K183" si="3">31+168.3</f>
        <v>199.3</v>
      </c>
      <c r="J183" s="82">
        <f t="shared" si="3"/>
        <v>199.3</v>
      </c>
      <c r="K183" s="82">
        <f t="shared" si="3"/>
        <v>199.3</v>
      </c>
    </row>
    <row r="184" spans="1:19" x14ac:dyDescent="0.2">
      <c r="A184" s="28"/>
      <c r="B184" s="29"/>
      <c r="C184" s="48"/>
      <c r="D184" s="49"/>
      <c r="E184" s="49"/>
      <c r="F184" s="49"/>
      <c r="G184" s="49"/>
      <c r="H184" s="49"/>
      <c r="I184" s="49"/>
      <c r="J184" s="49"/>
      <c r="K184" s="49"/>
    </row>
    <row r="185" spans="1:19" x14ac:dyDescent="0.2">
      <c r="A185" s="41" t="s">
        <v>79</v>
      </c>
      <c r="B185" s="29" t="s">
        <v>7</v>
      </c>
      <c r="C185" s="80">
        <f>((C190/C178/12)*1000000)</f>
        <v>55417.928905263878</v>
      </c>
      <c r="D185" s="80">
        <f>((D190/D178/12)*1000000)</f>
        <v>62031.391160409657</v>
      </c>
      <c r="E185" s="80">
        <f>((E190/E178/12)*1000000)</f>
        <v>68186.417484499631</v>
      </c>
      <c r="F185" s="80">
        <f>((F190/F178/12)*1000000)</f>
        <v>72655.171128246424</v>
      </c>
      <c r="G185" s="80">
        <f>((G190/G178/12)*1000000)</f>
        <v>74459.292086533373</v>
      </c>
      <c r="H185" s="80">
        <f>((H190/H178/12)*1000000)</f>
        <v>77453.991247439379</v>
      </c>
      <c r="I185" s="80">
        <f>((I190/I178/12)*1000000)</f>
        <v>81313.745205550382</v>
      </c>
      <c r="J185" s="80">
        <f>((J190/J178/12)*1000000)</f>
        <v>82563.096347082857</v>
      </c>
      <c r="K185" s="80">
        <f>((K190/K178/12)*1000000)</f>
        <v>88807.793055684</v>
      </c>
    </row>
    <row r="186" spans="1:19" x14ac:dyDescent="0.2">
      <c r="A186" s="41"/>
      <c r="B186" s="29" t="s">
        <v>35</v>
      </c>
      <c r="C186" s="80"/>
      <c r="D186" s="80">
        <f>D185/C185*100</f>
        <v>111.93379540843434</v>
      </c>
      <c r="E186" s="80">
        <f t="shared" ref="E186:F186" si="4">E185/D185*100</f>
        <v>109.92243799300489</v>
      </c>
      <c r="F186" s="80">
        <f t="shared" si="4"/>
        <v>106.55372991954395</v>
      </c>
      <c r="G186" s="80">
        <f>G185/E185*100</f>
        <v>109.19959551102639</v>
      </c>
      <c r="H186" s="80">
        <f>H185/F185*100</f>
        <v>106.60492576739291</v>
      </c>
      <c r="I186" s="80">
        <f>I185/G185*100</f>
        <v>109.20563831180542</v>
      </c>
      <c r="J186" s="80">
        <f>J185/H185*100</f>
        <v>106.59630965087598</v>
      </c>
      <c r="K186" s="80">
        <f>K185/I185*100</f>
        <v>109.21621286928756</v>
      </c>
    </row>
    <row r="187" spans="1:19" x14ac:dyDescent="0.2">
      <c r="A187" s="28" t="s">
        <v>95</v>
      </c>
      <c r="B187" s="29"/>
      <c r="C187" s="48"/>
      <c r="D187" s="49"/>
      <c r="E187" s="49"/>
      <c r="F187" s="49"/>
      <c r="G187" s="49"/>
      <c r="H187" s="49"/>
      <c r="I187" s="49"/>
      <c r="J187" s="49"/>
      <c r="K187" s="49"/>
    </row>
    <row r="188" spans="1:19" x14ac:dyDescent="0.2">
      <c r="A188" s="27" t="s">
        <v>93</v>
      </c>
      <c r="B188" s="29" t="s">
        <v>7</v>
      </c>
      <c r="C188" s="75">
        <f>((C195/C182/12)*1000000)</f>
        <v>44050.971697924775</v>
      </c>
      <c r="D188" s="75">
        <f>((D195/D182/12)*1000000)</f>
        <v>49458.4472112562</v>
      </c>
      <c r="E188" s="75">
        <f>((E195/E182/12)*1000000)</f>
        <v>55252.304706453186</v>
      </c>
      <c r="F188" s="75">
        <f>((F195/F182/12)*1000000)</f>
        <v>57460.981724082172</v>
      </c>
      <c r="G188" s="75">
        <f>((G195/G182/12)*1000000)</f>
        <v>57460.981724082172</v>
      </c>
      <c r="H188" s="75">
        <f>((H195/H182/12)*1000000)</f>
        <v>59760.633996441858</v>
      </c>
      <c r="I188" s="75">
        <f>((I195/I182/12)*1000000)</f>
        <v>59760.633996441858</v>
      </c>
      <c r="J188" s="75">
        <f>((J195/J182/12)*1000000)</f>
        <v>62151.261523532266</v>
      </c>
      <c r="K188" s="75">
        <f>((K195/K182/12)*1000000)</f>
        <v>62151.261523532266</v>
      </c>
    </row>
    <row r="189" spans="1:19" ht="24" x14ac:dyDescent="0.2">
      <c r="A189" s="27" t="s">
        <v>132</v>
      </c>
      <c r="B189" s="29" t="s">
        <v>7</v>
      </c>
      <c r="C189" s="75">
        <f>((C196/C183/12)*1000000)</f>
        <v>49899.446958270484</v>
      </c>
      <c r="D189" s="75">
        <f>((D196/D183/12)*1000000)</f>
        <v>58068.047835607205</v>
      </c>
      <c r="E189" s="75">
        <f>((E196/E183/12)*1000000)</f>
        <v>62173.986202254753</v>
      </c>
      <c r="F189" s="75">
        <f>((F196/F183/12)*1000000)</f>
        <v>68866.031108881085</v>
      </c>
      <c r="G189" s="75">
        <f>((G196/G183/12)*1000000)</f>
        <v>68866.031108881085</v>
      </c>
      <c r="H189" s="75">
        <f>((H196/H183/12)*1000000)</f>
        <v>73256.397390868035</v>
      </c>
      <c r="I189" s="75">
        <f>((I196/I183/12)*1000000)</f>
        <v>73256.397390868035</v>
      </c>
      <c r="J189" s="75">
        <f>((J196/J183/12)*1000000)</f>
        <v>77646.763672854984</v>
      </c>
      <c r="K189" s="75">
        <f>((K196/K183/12)*1000000)</f>
        <v>77646.763672854984</v>
      </c>
    </row>
    <row r="190" spans="1:19" s="69" customFormat="1" ht="24" x14ac:dyDescent="0.2">
      <c r="A190" s="53" t="s">
        <v>150</v>
      </c>
      <c r="B190" s="29" t="s">
        <v>2</v>
      </c>
      <c r="C190" s="75">
        <v>6497.8630000000003</v>
      </c>
      <c r="D190" s="75">
        <v>7182.768</v>
      </c>
      <c r="E190" s="84">
        <v>7813.65</v>
      </c>
      <c r="F190" s="84">
        <v>8360.61</v>
      </c>
      <c r="G190" s="84">
        <v>8595.02</v>
      </c>
      <c r="H190" s="84">
        <v>8950</v>
      </c>
      <c r="I190" s="84">
        <v>9454.5499999999993</v>
      </c>
      <c r="J190" s="84">
        <v>9580</v>
      </c>
      <c r="K190" s="84">
        <v>10400.5</v>
      </c>
      <c r="L190" s="68"/>
      <c r="M190" s="68"/>
      <c r="N190" s="68"/>
      <c r="O190" s="68"/>
      <c r="P190" s="68"/>
      <c r="Q190" s="68"/>
      <c r="R190" s="68"/>
      <c r="S190" s="68"/>
    </row>
    <row r="191" spans="1:19" s="69" customFormat="1" x14ac:dyDescent="0.2">
      <c r="A191" s="28"/>
      <c r="B191" s="29" t="s">
        <v>35</v>
      </c>
      <c r="C191" s="74"/>
      <c r="D191" s="75">
        <f>D190/C190*100</f>
        <v>110.54046538069515</v>
      </c>
      <c r="E191" s="75">
        <f>E190/D190*100</f>
        <v>108.78327129596835</v>
      </c>
      <c r="F191" s="75">
        <f>F190/E190*100</f>
        <v>107.00005759152253</v>
      </c>
      <c r="G191" s="75">
        <f>G190/E190*100</f>
        <v>110.0000639905806</v>
      </c>
      <c r="H191" s="75">
        <f>H190/F190*100</f>
        <v>107.04960523215409</v>
      </c>
      <c r="I191" s="75">
        <f>I190/G190*100</f>
        <v>110.00032577003891</v>
      </c>
      <c r="J191" s="75">
        <f>J190/H190*100</f>
        <v>107.03910614525141</v>
      </c>
      <c r="K191" s="75">
        <f>K190/I190*100</f>
        <v>110.00523557440599</v>
      </c>
      <c r="L191" s="68"/>
      <c r="M191" s="68"/>
      <c r="N191" s="68"/>
      <c r="O191" s="68"/>
      <c r="P191" s="68"/>
      <c r="Q191" s="68"/>
      <c r="R191" s="68"/>
      <c r="S191" s="68"/>
    </row>
    <row r="192" spans="1:19" x14ac:dyDescent="0.2">
      <c r="A192" s="28" t="s">
        <v>94</v>
      </c>
      <c r="B192" s="29"/>
      <c r="C192" s="48"/>
      <c r="D192" s="49"/>
      <c r="E192" s="49"/>
      <c r="F192" s="49"/>
      <c r="G192" s="49"/>
      <c r="H192" s="49"/>
      <c r="I192" s="49"/>
      <c r="J192" s="49"/>
      <c r="K192" s="49"/>
    </row>
    <row r="193" spans="1:19" ht="24" x14ac:dyDescent="0.2">
      <c r="A193" s="28" t="s">
        <v>96</v>
      </c>
      <c r="B193" s="29" t="s">
        <v>2</v>
      </c>
      <c r="C193" s="81">
        <f>C195+C196</f>
        <v>1001.3000000000001</v>
      </c>
      <c r="D193" s="81">
        <f t="shared" ref="D193:K193" si="5">D195+D196</f>
        <v>1115.1000000000001</v>
      </c>
      <c r="E193" s="75">
        <f t="shared" si="5"/>
        <v>1241</v>
      </c>
      <c r="F193" s="81">
        <f t="shared" si="5"/>
        <v>1301.6000000000001</v>
      </c>
      <c r="G193" s="81">
        <f t="shared" si="5"/>
        <v>1301.6000000000001</v>
      </c>
      <c r="H193" s="81">
        <f t="shared" si="5"/>
        <v>1357.6000000000001</v>
      </c>
      <c r="I193" s="81">
        <f t="shared" si="5"/>
        <v>1357.6000000000001</v>
      </c>
      <c r="J193" s="81">
        <f t="shared" si="5"/>
        <v>1415.4</v>
      </c>
      <c r="K193" s="81">
        <f t="shared" si="5"/>
        <v>1415.4</v>
      </c>
    </row>
    <row r="194" spans="1:19" x14ac:dyDescent="0.2">
      <c r="A194" s="28" t="s">
        <v>94</v>
      </c>
      <c r="B194" s="29"/>
      <c r="C194" s="48"/>
      <c r="D194" s="49"/>
      <c r="E194" s="49"/>
      <c r="F194" s="49"/>
      <c r="G194" s="49"/>
      <c r="H194" s="49"/>
      <c r="I194" s="49"/>
      <c r="J194" s="49"/>
      <c r="K194" s="49"/>
    </row>
    <row r="195" spans="1:19" x14ac:dyDescent="0.2">
      <c r="A195" s="27" t="s">
        <v>93</v>
      </c>
      <c r="B195" s="29" t="s">
        <v>2</v>
      </c>
      <c r="C195" s="83">
        <v>882.2</v>
      </c>
      <c r="D195" s="83">
        <v>977.2</v>
      </c>
      <c r="E195" s="83">
        <v>1093.2</v>
      </c>
      <c r="F195" s="83">
        <v>1136.9000000000001</v>
      </c>
      <c r="G195" s="83">
        <v>1136.9000000000001</v>
      </c>
      <c r="H195" s="83">
        <v>1182.4000000000001</v>
      </c>
      <c r="I195" s="83">
        <v>1182.4000000000001</v>
      </c>
      <c r="J195" s="83">
        <v>1229.7</v>
      </c>
      <c r="K195" s="83">
        <v>1229.7</v>
      </c>
    </row>
    <row r="196" spans="1:19" ht="24" x14ac:dyDescent="0.2">
      <c r="A196" s="27" t="s">
        <v>132</v>
      </c>
      <c r="B196" s="29" t="s">
        <v>2</v>
      </c>
      <c r="C196" s="83">
        <v>119.1</v>
      </c>
      <c r="D196" s="83">
        <f>17.9+114.5+5.5</f>
        <v>137.9</v>
      </c>
      <c r="E196" s="83">
        <f>21+120.9+5.9</f>
        <v>147.80000000000001</v>
      </c>
      <c r="F196" s="83">
        <f>21.8+142.9</f>
        <v>164.70000000000002</v>
      </c>
      <c r="G196" s="83">
        <f>21.8+142.9</f>
        <v>164.70000000000002</v>
      </c>
      <c r="H196" s="83">
        <f>22.7+152.5</f>
        <v>175.2</v>
      </c>
      <c r="I196" s="83">
        <f>22.7+152.5</f>
        <v>175.2</v>
      </c>
      <c r="J196" s="83">
        <f>23.6+162.1</f>
        <v>185.7</v>
      </c>
      <c r="K196" s="83">
        <f>23.6+162.1</f>
        <v>185.7</v>
      </c>
    </row>
    <row r="197" spans="1:19" s="69" customFormat="1" x14ac:dyDescent="0.2">
      <c r="A197" s="28" t="s">
        <v>13</v>
      </c>
      <c r="B197" s="29" t="s">
        <v>2</v>
      </c>
      <c r="C197" s="294">
        <v>80.400000000000006</v>
      </c>
      <c r="D197" s="294">
        <v>85.4</v>
      </c>
      <c r="E197" s="294">
        <f>E190*1.2%</f>
        <v>93.763800000000003</v>
      </c>
      <c r="F197" s="294">
        <f t="shared" ref="F197:K197" si="6">F190*1.2%</f>
        <v>100.32732000000001</v>
      </c>
      <c r="G197" s="294">
        <f t="shared" si="6"/>
        <v>103.14024000000001</v>
      </c>
      <c r="H197" s="294">
        <f t="shared" si="6"/>
        <v>107.4</v>
      </c>
      <c r="I197" s="294">
        <f t="shared" si="6"/>
        <v>113.4546</v>
      </c>
      <c r="J197" s="294">
        <f t="shared" si="6"/>
        <v>114.96000000000001</v>
      </c>
      <c r="K197" s="294">
        <f t="shared" si="6"/>
        <v>124.806</v>
      </c>
      <c r="L197" s="68"/>
      <c r="M197" s="68"/>
      <c r="N197" s="68"/>
      <c r="O197" s="68"/>
      <c r="P197" s="68"/>
      <c r="Q197" s="68"/>
      <c r="R197" s="68"/>
      <c r="S197" s="68"/>
    </row>
    <row r="198" spans="1:19" s="69" customFormat="1" x14ac:dyDescent="0.2">
      <c r="A198" s="28"/>
      <c r="B198" s="29" t="s">
        <v>35</v>
      </c>
      <c r="C198" s="294"/>
      <c r="D198" s="294">
        <f>D197/C197*100</f>
        <v>106.21890547263682</v>
      </c>
      <c r="E198" s="294">
        <f t="shared" ref="E198:F198" si="7">E197/D197*100</f>
        <v>109.79367681498829</v>
      </c>
      <c r="F198" s="294">
        <f t="shared" si="7"/>
        <v>107.00005759152253</v>
      </c>
      <c r="G198" s="294">
        <f>G197/E197*100</f>
        <v>110.0000639905806</v>
      </c>
      <c r="H198" s="294">
        <f>H197/F197*100</f>
        <v>107.04960523215409</v>
      </c>
      <c r="I198" s="294">
        <f>I197/G197*100</f>
        <v>110.00032577003893</v>
      </c>
      <c r="J198" s="294">
        <f>J197/H197*100</f>
        <v>107.03910614525141</v>
      </c>
      <c r="K198" s="294">
        <f>K197/I197*100</f>
        <v>110.00523557440599</v>
      </c>
      <c r="L198" s="68"/>
      <c r="M198" s="68"/>
      <c r="N198" s="68"/>
      <c r="O198" s="68"/>
      <c r="P198" s="68"/>
      <c r="Q198" s="68"/>
      <c r="R198" s="68"/>
      <c r="S198" s="68"/>
    </row>
    <row r="199" spans="1:19" x14ac:dyDescent="0.2">
      <c r="C199" s="48"/>
      <c r="D199" s="49"/>
      <c r="E199" s="49"/>
      <c r="F199" s="49"/>
      <c r="G199" s="49"/>
      <c r="H199" s="49"/>
      <c r="I199" s="49"/>
      <c r="J199" s="49"/>
      <c r="K199" s="49"/>
    </row>
    <row r="200" spans="1:19" s="69" customFormat="1" x14ac:dyDescent="0.2">
      <c r="A200" s="32" t="s">
        <v>59</v>
      </c>
      <c r="B200" s="29" t="s">
        <v>6</v>
      </c>
      <c r="C200" s="87">
        <v>538</v>
      </c>
      <c r="D200" s="87">
        <v>436</v>
      </c>
      <c r="E200" s="87">
        <v>450</v>
      </c>
      <c r="F200" s="87">
        <v>470</v>
      </c>
      <c r="G200" s="87">
        <v>450</v>
      </c>
      <c r="H200" s="87">
        <v>460</v>
      </c>
      <c r="I200" s="87">
        <v>430</v>
      </c>
      <c r="J200" s="87">
        <v>450</v>
      </c>
      <c r="K200" s="87">
        <v>420</v>
      </c>
      <c r="L200" s="68"/>
      <c r="M200" s="68"/>
      <c r="N200" s="68"/>
      <c r="O200" s="68"/>
      <c r="P200" s="68"/>
      <c r="Q200" s="68"/>
      <c r="R200" s="68"/>
      <c r="S200" s="68"/>
    </row>
    <row r="201" spans="1:19" ht="24" x14ac:dyDescent="0.2">
      <c r="A201" s="28" t="s">
        <v>88</v>
      </c>
      <c r="B201" s="29" t="s">
        <v>89</v>
      </c>
      <c r="C201" s="83">
        <f>C200/24614%</f>
        <v>2.1857479483220934</v>
      </c>
      <c r="D201" s="83">
        <v>1.7842527418562775</v>
      </c>
      <c r="E201" s="83">
        <v>1.8622744578712134</v>
      </c>
      <c r="F201" s="83">
        <v>1.9671856688431275</v>
      </c>
      <c r="G201" s="83">
        <v>1.8834756403817179</v>
      </c>
      <c r="H201" s="83">
        <v>1.9475021168501272</v>
      </c>
      <c r="I201" s="83">
        <v>1.8204911092294667</v>
      </c>
      <c r="J201" s="83">
        <v>1.9273599451773171</v>
      </c>
      <c r="K201" s="83">
        <v>1.7988692821654961</v>
      </c>
    </row>
    <row r="202" spans="1:19" ht="36" x14ac:dyDescent="0.2">
      <c r="A202" s="28" t="s">
        <v>60</v>
      </c>
      <c r="B202" s="42" t="s">
        <v>6</v>
      </c>
      <c r="C202" s="85">
        <v>1.6</v>
      </c>
      <c r="D202" s="86" t="s">
        <v>161</v>
      </c>
      <c r="E202" s="86">
        <v>2.6</v>
      </c>
      <c r="F202" s="86">
        <v>2.6</v>
      </c>
      <c r="G202" s="86">
        <v>2.5</v>
      </c>
      <c r="H202" s="86">
        <v>2.6</v>
      </c>
      <c r="I202" s="86">
        <v>2.5</v>
      </c>
      <c r="J202" s="86">
        <v>2.6</v>
      </c>
      <c r="K202" s="86">
        <v>2.5</v>
      </c>
    </row>
  </sheetData>
  <mergeCells count="12">
    <mergeCell ref="A1:K1"/>
    <mergeCell ref="C3:D3"/>
    <mergeCell ref="A2:K2"/>
    <mergeCell ref="F3:K3"/>
    <mergeCell ref="H4:I4"/>
    <mergeCell ref="J4:K4"/>
    <mergeCell ref="B3:B5"/>
    <mergeCell ref="A3:A5"/>
    <mergeCell ref="C4:C5"/>
    <mergeCell ref="D4:D5"/>
    <mergeCell ref="E4:E5"/>
    <mergeCell ref="F4:G4"/>
  </mergeCells>
  <phoneticPr fontId="0" type="noConversion"/>
  <pageMargins left="0.23622047244094491" right="0.23622047244094491" top="0.74803149606299213" bottom="0.55118110236220474" header="0.31496062992125984" footer="0.31496062992125984"/>
  <pageSetup paperSize="9" fitToHeight="0" orientation="landscape" horizontalDpi="300" verticalDpi="300" r:id="rId1"/>
  <headerFooter alignWithMargins="0">
    <oddHeader>&amp;C&amp;P</oddHeader>
  </headerFooter>
  <rowBreaks count="1" manualBreakCount="1">
    <brk id="16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263F-A820-4B28-9DA6-F38EF33ECBC1}">
  <dimension ref="A1:F106"/>
  <sheetViews>
    <sheetView topLeftCell="A73" workbookViewId="0">
      <selection activeCell="B82" sqref="B82"/>
    </sheetView>
  </sheetViews>
  <sheetFormatPr defaultColWidth="8.85546875" defaultRowHeight="15" x14ac:dyDescent="0.25"/>
  <cols>
    <col min="1" max="1" width="90.5703125" style="213" customWidth="1"/>
    <col min="2" max="6" width="12.7109375" style="213" customWidth="1"/>
    <col min="7" max="16384" width="8.85546875" style="213"/>
  </cols>
  <sheetData>
    <row r="1" spans="1:6" x14ac:dyDescent="0.25">
      <c r="A1" s="323" t="s">
        <v>196</v>
      </c>
      <c r="B1" s="324"/>
      <c r="C1" s="324"/>
      <c r="D1" s="324"/>
      <c r="E1" s="324"/>
      <c r="F1" s="324"/>
    </row>
    <row r="2" spans="1:6" ht="45" customHeight="1" x14ac:dyDescent="0.25">
      <c r="A2" s="324"/>
      <c r="B2" s="324"/>
      <c r="C2" s="324"/>
      <c r="D2" s="324"/>
      <c r="E2" s="324"/>
      <c r="F2" s="324"/>
    </row>
    <row r="3" spans="1:6" ht="52.5" customHeight="1" x14ac:dyDescent="0.25">
      <c r="A3" s="325" t="s">
        <v>197</v>
      </c>
      <c r="B3" s="325"/>
      <c r="C3" s="325"/>
      <c r="D3" s="325"/>
      <c r="E3" s="325"/>
      <c r="F3" s="325"/>
    </row>
    <row r="4" spans="1:6" s="214" customFormat="1" ht="19.5" customHeight="1" thickBot="1" x14ac:dyDescent="0.35">
      <c r="A4" s="326" t="s">
        <v>198</v>
      </c>
      <c r="B4" s="326"/>
      <c r="C4" s="326"/>
      <c r="D4" s="326"/>
      <c r="E4" s="326"/>
      <c r="F4" s="326"/>
    </row>
    <row r="5" spans="1:6" ht="19.5" customHeight="1" x14ac:dyDescent="0.25">
      <c r="A5" s="327"/>
      <c r="B5" s="215">
        <v>2023</v>
      </c>
      <c r="C5" s="216">
        <v>2024</v>
      </c>
      <c r="D5" s="216">
        <v>2025</v>
      </c>
      <c r="E5" s="216">
        <v>2026</v>
      </c>
      <c r="F5" s="217">
        <v>2027</v>
      </c>
    </row>
    <row r="6" spans="1:6" ht="19.5" customHeight="1" thickBot="1" x14ac:dyDescent="0.3">
      <c r="A6" s="328"/>
      <c r="B6" s="218" t="s">
        <v>199</v>
      </c>
      <c r="C6" s="219" t="s">
        <v>200</v>
      </c>
      <c r="D6" s="329" t="s">
        <v>201</v>
      </c>
      <c r="E6" s="329"/>
      <c r="F6" s="330"/>
    </row>
    <row r="7" spans="1:6" ht="15.75" customHeight="1" x14ac:dyDescent="0.25">
      <c r="A7" s="220" t="s">
        <v>202</v>
      </c>
      <c r="B7" s="221"/>
      <c r="C7" s="222"/>
      <c r="D7" s="222"/>
      <c r="E7" s="222"/>
      <c r="F7" s="223"/>
    </row>
    <row r="8" spans="1:6" ht="20.100000000000001" customHeight="1" x14ac:dyDescent="0.25">
      <c r="A8" s="224" t="s">
        <v>203</v>
      </c>
      <c r="B8" s="225">
        <v>105.33</v>
      </c>
      <c r="C8" s="226">
        <v>109.76</v>
      </c>
      <c r="D8" s="226">
        <v>104.74</v>
      </c>
      <c r="E8" s="226">
        <v>103.47</v>
      </c>
      <c r="F8" s="227">
        <v>103.32</v>
      </c>
    </row>
    <row r="9" spans="1:6" ht="20.100000000000001" customHeight="1" x14ac:dyDescent="0.25">
      <c r="A9" s="228" t="s">
        <v>204</v>
      </c>
      <c r="B9" s="229">
        <v>103.97</v>
      </c>
      <c r="C9" s="230">
        <v>108.79</v>
      </c>
      <c r="D9" s="230">
        <v>104.62</v>
      </c>
      <c r="E9" s="230">
        <v>103.54</v>
      </c>
      <c r="F9" s="231">
        <v>103.41</v>
      </c>
    </row>
    <row r="10" spans="1:6" ht="20.100000000000001" customHeight="1" x14ac:dyDescent="0.25">
      <c r="A10" s="232" t="s">
        <v>205</v>
      </c>
      <c r="B10" s="229">
        <v>103.28</v>
      </c>
      <c r="C10" s="230">
        <v>108.59</v>
      </c>
      <c r="D10" s="230">
        <v>104.37</v>
      </c>
      <c r="E10" s="230">
        <v>103.83</v>
      </c>
      <c r="F10" s="231">
        <v>103.74</v>
      </c>
    </row>
    <row r="11" spans="1:6" ht="20.100000000000001" customHeight="1" x14ac:dyDescent="0.25">
      <c r="A11" s="233" t="s">
        <v>206</v>
      </c>
      <c r="B11" s="234"/>
      <c r="C11" s="235"/>
      <c r="D11" s="235"/>
      <c r="E11" s="235"/>
      <c r="F11" s="236"/>
    </row>
    <row r="12" spans="1:6" ht="20.100000000000001" customHeight="1" x14ac:dyDescent="0.25">
      <c r="A12" s="224" t="s">
        <v>203</v>
      </c>
      <c r="B12" s="225">
        <v>103.88</v>
      </c>
      <c r="C12" s="226">
        <v>111.61</v>
      </c>
      <c r="D12" s="226">
        <v>104.78</v>
      </c>
      <c r="E12" s="226">
        <v>102.57</v>
      </c>
      <c r="F12" s="227">
        <v>102.45</v>
      </c>
    </row>
    <row r="13" spans="1:6" s="238" customFormat="1" ht="20.100000000000001" customHeight="1" x14ac:dyDescent="0.25">
      <c r="A13" s="237" t="s">
        <v>204</v>
      </c>
      <c r="B13" s="229">
        <v>104.17</v>
      </c>
      <c r="C13" s="230">
        <v>110.32</v>
      </c>
      <c r="D13" s="230">
        <v>104.63</v>
      </c>
      <c r="E13" s="230">
        <v>102.67</v>
      </c>
      <c r="F13" s="231">
        <v>102.61</v>
      </c>
    </row>
    <row r="14" spans="1:6" ht="20.100000000000001" customHeight="1" x14ac:dyDescent="0.25">
      <c r="A14" s="233" t="s">
        <v>207</v>
      </c>
      <c r="B14" s="234"/>
      <c r="C14" s="235"/>
      <c r="D14" s="235"/>
      <c r="E14" s="235"/>
      <c r="F14" s="236"/>
    </row>
    <row r="15" spans="1:6" ht="20.100000000000001" customHeight="1" x14ac:dyDescent="0.25">
      <c r="A15" s="224" t="s">
        <v>203</v>
      </c>
      <c r="B15" s="225">
        <v>102.3</v>
      </c>
      <c r="C15" s="226">
        <v>111.67</v>
      </c>
      <c r="D15" s="226">
        <v>104.89</v>
      </c>
      <c r="E15" s="226">
        <v>102.47</v>
      </c>
      <c r="F15" s="227">
        <v>102.34</v>
      </c>
    </row>
    <row r="16" spans="1:6" s="238" customFormat="1" ht="20.100000000000001" customHeight="1" x14ac:dyDescent="0.25">
      <c r="A16" s="239" t="s">
        <v>204</v>
      </c>
      <c r="B16" s="229">
        <v>103.33</v>
      </c>
      <c r="C16" s="230">
        <v>110.31</v>
      </c>
      <c r="D16" s="230">
        <v>104.78</v>
      </c>
      <c r="E16" s="230">
        <v>102.64</v>
      </c>
      <c r="F16" s="231">
        <v>102.49</v>
      </c>
    </row>
    <row r="17" spans="1:6" ht="20.100000000000001" customHeight="1" x14ac:dyDescent="0.25">
      <c r="A17" s="233" t="s">
        <v>208</v>
      </c>
      <c r="B17" s="234"/>
      <c r="C17" s="235"/>
      <c r="D17" s="235"/>
      <c r="E17" s="235"/>
      <c r="F17" s="236"/>
    </row>
    <row r="18" spans="1:6" ht="20.100000000000001" customHeight="1" x14ac:dyDescent="0.25">
      <c r="A18" s="224" t="s">
        <v>203</v>
      </c>
      <c r="B18" s="225">
        <v>80.846999999999994</v>
      </c>
      <c r="C18" s="226">
        <v>105.12</v>
      </c>
      <c r="D18" s="226">
        <v>104.04229148983615</v>
      </c>
      <c r="E18" s="226">
        <v>102.88501566657547</v>
      </c>
      <c r="F18" s="227">
        <v>102.52071345834588</v>
      </c>
    </row>
    <row r="19" spans="1:6" ht="20.100000000000001" customHeight="1" x14ac:dyDescent="0.25">
      <c r="A19" s="228" t="s">
        <v>204</v>
      </c>
      <c r="B19" s="229">
        <v>78.227919956132112</v>
      </c>
      <c r="C19" s="230">
        <v>104.94156033463824</v>
      </c>
      <c r="D19" s="230">
        <v>103.77975132013349</v>
      </c>
      <c r="E19" s="230">
        <v>102.95947694946186</v>
      </c>
      <c r="F19" s="231">
        <v>102.27257621947797</v>
      </c>
    </row>
    <row r="20" spans="1:6" ht="20.100000000000001" customHeight="1" x14ac:dyDescent="0.25">
      <c r="A20" s="232" t="s">
        <v>209</v>
      </c>
      <c r="B20" s="229"/>
      <c r="C20" s="230"/>
      <c r="D20" s="230"/>
      <c r="E20" s="230"/>
      <c r="F20" s="231"/>
    </row>
    <row r="21" spans="1:6" ht="20.100000000000001" customHeight="1" x14ac:dyDescent="0.25">
      <c r="A21" s="228" t="s">
        <v>204</v>
      </c>
      <c r="B21" s="229">
        <v>86.922518061435653</v>
      </c>
      <c r="C21" s="240">
        <v>104.6143274467746</v>
      </c>
      <c r="D21" s="240">
        <v>103.89341561832349</v>
      </c>
      <c r="E21" s="240">
        <v>103.0850240970298</v>
      </c>
      <c r="F21" s="241">
        <v>102.72783068738185</v>
      </c>
    </row>
    <row r="22" spans="1:6" ht="20.100000000000001" customHeight="1" x14ac:dyDescent="0.25">
      <c r="A22" s="233" t="s">
        <v>210</v>
      </c>
      <c r="B22" s="234"/>
      <c r="C22" s="235"/>
      <c r="D22" s="235"/>
      <c r="E22" s="235"/>
      <c r="F22" s="236"/>
    </row>
    <row r="23" spans="1:6" ht="20.100000000000001" customHeight="1" x14ac:dyDescent="0.25">
      <c r="A23" s="224" t="s">
        <v>203</v>
      </c>
      <c r="B23" s="225">
        <v>105.19102118725814</v>
      </c>
      <c r="C23" s="226">
        <v>112.32473245213457</v>
      </c>
      <c r="D23" s="226">
        <v>104.9724210714699</v>
      </c>
      <c r="E23" s="226">
        <v>102.42355699748715</v>
      </c>
      <c r="F23" s="227">
        <v>102.31809896974518</v>
      </c>
    </row>
    <row r="24" spans="1:6" s="238" customFormat="1" ht="20.100000000000001" customHeight="1" x14ac:dyDescent="0.25">
      <c r="A24" s="237" t="s">
        <v>204</v>
      </c>
      <c r="B24" s="242">
        <v>105.35983895443266</v>
      </c>
      <c r="C24" s="240">
        <v>110.55534366108361</v>
      </c>
      <c r="D24" s="240">
        <v>104.80753411760526</v>
      </c>
      <c r="E24" s="240">
        <v>102.62517016842834</v>
      </c>
      <c r="F24" s="241">
        <v>102.49810457025512</v>
      </c>
    </row>
    <row r="25" spans="1:6" ht="20.100000000000001" customHeight="1" x14ac:dyDescent="0.25">
      <c r="A25" s="243" t="s">
        <v>211</v>
      </c>
      <c r="B25" s="244"/>
      <c r="C25" s="245"/>
      <c r="D25" s="245"/>
      <c r="E25" s="245"/>
      <c r="F25" s="246"/>
    </row>
    <row r="26" spans="1:6" ht="20.100000000000001" customHeight="1" x14ac:dyDescent="0.25">
      <c r="A26" s="224" t="s">
        <v>203</v>
      </c>
      <c r="B26" s="225">
        <v>118.07925003152855</v>
      </c>
      <c r="C26" s="226">
        <v>111.04829728554505</v>
      </c>
      <c r="D26" s="226">
        <v>103.82861019443622</v>
      </c>
      <c r="E26" s="226">
        <v>103.42944670108146</v>
      </c>
      <c r="F26" s="227">
        <v>103.36931970733042</v>
      </c>
    </row>
    <row r="27" spans="1:6" ht="20.100000000000001" customHeight="1" x14ac:dyDescent="0.25">
      <c r="A27" s="228" t="s">
        <v>204</v>
      </c>
      <c r="B27" s="242">
        <v>111.39432978239192</v>
      </c>
      <c r="C27" s="240">
        <v>110.43471827600186</v>
      </c>
      <c r="D27" s="240">
        <v>103.34418249658093</v>
      </c>
      <c r="E27" s="240">
        <v>102.97184500280079</v>
      </c>
      <c r="F27" s="241">
        <v>103.44953478069716</v>
      </c>
    </row>
    <row r="28" spans="1:6" ht="20.100000000000001" customHeight="1" x14ac:dyDescent="0.25">
      <c r="A28" s="247" t="s">
        <v>212</v>
      </c>
      <c r="B28" s="234"/>
      <c r="C28" s="235"/>
      <c r="D28" s="235"/>
      <c r="E28" s="235"/>
      <c r="F28" s="248"/>
    </row>
    <row r="29" spans="1:6" ht="20.100000000000001" customHeight="1" x14ac:dyDescent="0.25">
      <c r="A29" s="224" t="s">
        <v>203</v>
      </c>
      <c r="B29" s="225">
        <v>118.19502231011995</v>
      </c>
      <c r="C29" s="226">
        <v>112.84951297037978</v>
      </c>
      <c r="D29" s="226">
        <v>103.41766837657732</v>
      </c>
      <c r="E29" s="226">
        <v>103.48481851474718</v>
      </c>
      <c r="F29" s="227">
        <v>103.71033996691064</v>
      </c>
    </row>
    <row r="30" spans="1:6" ht="20.100000000000001" customHeight="1" thickBot="1" x14ac:dyDescent="0.3">
      <c r="A30" s="249" t="s">
        <v>204</v>
      </c>
      <c r="B30" s="250">
        <v>111.43296341490634</v>
      </c>
      <c r="C30" s="251">
        <v>112.06419845772054</v>
      </c>
      <c r="D30" s="251">
        <v>102.3060395273943</v>
      </c>
      <c r="E30" s="251">
        <v>102.67891125521282</v>
      </c>
      <c r="F30" s="252">
        <v>103.3769210694212</v>
      </c>
    </row>
    <row r="31" spans="1:6" ht="20.100000000000001" customHeight="1" x14ac:dyDescent="0.25">
      <c r="A31" s="253" t="s">
        <v>213</v>
      </c>
      <c r="B31" s="254"/>
      <c r="C31" s="255"/>
      <c r="D31" s="255"/>
      <c r="E31" s="255"/>
      <c r="F31" s="256"/>
    </row>
    <row r="32" spans="1:6" ht="20.100000000000001" customHeight="1" x14ac:dyDescent="0.25">
      <c r="A32" s="224" t="s">
        <v>203</v>
      </c>
      <c r="B32" s="225">
        <v>117.82012050342259</v>
      </c>
      <c r="C32" s="226">
        <v>106.86764878050661</v>
      </c>
      <c r="D32" s="226">
        <v>104.75308294835955</v>
      </c>
      <c r="E32" s="226">
        <v>103.30634763298343</v>
      </c>
      <c r="F32" s="227">
        <v>102.61118531768747</v>
      </c>
    </row>
    <row r="33" spans="1:6" ht="20.100000000000001" customHeight="1" x14ac:dyDescent="0.25">
      <c r="A33" s="257" t="s">
        <v>204</v>
      </c>
      <c r="B33" s="242">
        <v>111.04</v>
      </c>
      <c r="C33" s="240">
        <v>106.61959080989116</v>
      </c>
      <c r="D33" s="240">
        <v>104.9352728739144</v>
      </c>
      <c r="E33" s="240">
        <v>103.46508034041651</v>
      </c>
      <c r="F33" s="241">
        <v>102.76378169817227</v>
      </c>
    </row>
    <row r="34" spans="1:6" ht="20.100000000000001" customHeight="1" x14ac:dyDescent="0.25">
      <c r="A34" s="243" t="s">
        <v>214</v>
      </c>
      <c r="B34" s="258"/>
      <c r="C34" s="259"/>
      <c r="D34" s="259"/>
      <c r="E34" s="259"/>
      <c r="F34" s="246"/>
    </row>
    <row r="35" spans="1:6" ht="20.100000000000001" customHeight="1" x14ac:dyDescent="0.25">
      <c r="A35" s="224" t="s">
        <v>203</v>
      </c>
      <c r="B35" s="225">
        <v>103.67524055769573</v>
      </c>
      <c r="C35" s="226">
        <v>109.52864506296503</v>
      </c>
      <c r="D35" s="226">
        <v>104.58312353323031</v>
      </c>
      <c r="E35" s="226">
        <v>103.76055290270411</v>
      </c>
      <c r="F35" s="227">
        <v>103.58604947958791</v>
      </c>
    </row>
    <row r="36" spans="1:6" ht="20.100000000000001" customHeight="1" x14ac:dyDescent="0.25">
      <c r="A36" s="228" t="s">
        <v>204</v>
      </c>
      <c r="B36" s="242">
        <v>102.80598858438397</v>
      </c>
      <c r="C36" s="240">
        <v>108.70624653085031</v>
      </c>
      <c r="D36" s="240">
        <v>104.21899010806767</v>
      </c>
      <c r="E36" s="240">
        <v>103.77842973912072</v>
      </c>
      <c r="F36" s="241">
        <v>103.59829187048044</v>
      </c>
    </row>
    <row r="37" spans="1:6" ht="30" x14ac:dyDescent="0.25">
      <c r="A37" s="247" t="s">
        <v>215</v>
      </c>
      <c r="B37" s="234"/>
      <c r="C37" s="235"/>
      <c r="D37" s="235"/>
      <c r="E37" s="235"/>
      <c r="F37" s="248"/>
    </row>
    <row r="38" spans="1:6" ht="20.100000000000001" customHeight="1" x14ac:dyDescent="0.25">
      <c r="A38" s="224" t="s">
        <v>203</v>
      </c>
      <c r="B38" s="225">
        <v>104.7503019578194</v>
      </c>
      <c r="C38" s="226">
        <v>106.62452882512304</v>
      </c>
      <c r="D38" s="226">
        <v>102.98334679773096</v>
      </c>
      <c r="E38" s="226">
        <v>102.9795114896142</v>
      </c>
      <c r="F38" s="227">
        <v>102.9396395378666</v>
      </c>
    </row>
    <row r="39" spans="1:6" ht="20.100000000000001" customHeight="1" x14ac:dyDescent="0.25">
      <c r="A39" s="228" t="s">
        <v>204</v>
      </c>
      <c r="B39" s="242">
        <v>103.28020998914653</v>
      </c>
      <c r="C39" s="240">
        <v>106.43422643228926</v>
      </c>
      <c r="D39" s="240">
        <v>103.44682045478247</v>
      </c>
      <c r="E39" s="240">
        <v>103.51851217273355</v>
      </c>
      <c r="F39" s="241">
        <v>103.47717593629741</v>
      </c>
    </row>
    <row r="40" spans="1:6" ht="30" x14ac:dyDescent="0.25">
      <c r="A40" s="247" t="s">
        <v>216</v>
      </c>
      <c r="B40" s="234"/>
      <c r="C40" s="235"/>
      <c r="D40" s="235"/>
      <c r="E40" s="235"/>
      <c r="F40" s="248"/>
    </row>
    <row r="41" spans="1:6" ht="20.100000000000001" customHeight="1" x14ac:dyDescent="0.25">
      <c r="A41" s="224" t="s">
        <v>203</v>
      </c>
      <c r="B41" s="225">
        <v>115.83761543936487</v>
      </c>
      <c r="C41" s="226">
        <v>106.30622181337766</v>
      </c>
      <c r="D41" s="226">
        <v>102.9286196759507</v>
      </c>
      <c r="E41" s="226">
        <v>103.58865127037538</v>
      </c>
      <c r="F41" s="227">
        <v>103.60929802579935</v>
      </c>
    </row>
    <row r="42" spans="1:6" ht="20.100000000000001" customHeight="1" x14ac:dyDescent="0.25">
      <c r="A42" s="257" t="s">
        <v>204</v>
      </c>
      <c r="B42" s="242">
        <v>105.76270911228221</v>
      </c>
      <c r="C42" s="240">
        <v>106.10523601233939</v>
      </c>
      <c r="D42" s="240">
        <v>103.14113306983303</v>
      </c>
      <c r="E42" s="240">
        <v>103.46217245516249</v>
      </c>
      <c r="F42" s="241">
        <v>103.4708778064834</v>
      </c>
    </row>
    <row r="43" spans="1:6" ht="30" x14ac:dyDescent="0.25">
      <c r="A43" s="247" t="s">
        <v>217</v>
      </c>
      <c r="B43" s="234"/>
      <c r="C43" s="235"/>
      <c r="D43" s="235"/>
      <c r="E43" s="235"/>
      <c r="F43" s="248"/>
    </row>
    <row r="44" spans="1:6" ht="20.100000000000001" customHeight="1" x14ac:dyDescent="0.25">
      <c r="A44" s="224" t="s">
        <v>203</v>
      </c>
      <c r="B44" s="225">
        <v>97.213429729948203</v>
      </c>
      <c r="C44" s="226">
        <v>111.5040248003706</v>
      </c>
      <c r="D44" s="226">
        <v>103.63596259088868</v>
      </c>
      <c r="E44" s="226">
        <v>104.4954290051719</v>
      </c>
      <c r="F44" s="227">
        <v>103.44502869195682</v>
      </c>
    </row>
    <row r="45" spans="1:6" ht="20.100000000000001" customHeight="1" x14ac:dyDescent="0.25">
      <c r="A45" s="257" t="s">
        <v>204</v>
      </c>
      <c r="B45" s="242">
        <v>84.685231673297494</v>
      </c>
      <c r="C45" s="240">
        <v>110.45806234668105</v>
      </c>
      <c r="D45" s="240">
        <v>102.77335580292717</v>
      </c>
      <c r="E45" s="240">
        <v>103.04464514534932</v>
      </c>
      <c r="F45" s="241">
        <v>102.96295523568494</v>
      </c>
    </row>
    <row r="46" spans="1:6" ht="20.100000000000001" customHeight="1" x14ac:dyDescent="0.25">
      <c r="A46" s="260" t="s">
        <v>218</v>
      </c>
      <c r="B46" s="244"/>
      <c r="C46" s="245"/>
      <c r="D46" s="245"/>
      <c r="E46" s="245"/>
      <c r="F46" s="261"/>
    </row>
    <row r="47" spans="1:6" ht="20.100000000000001" customHeight="1" x14ac:dyDescent="0.25">
      <c r="A47" s="224" t="s">
        <v>203</v>
      </c>
      <c r="B47" s="225">
        <v>102.59456644547731</v>
      </c>
      <c r="C47" s="226">
        <v>114.23236034863611</v>
      </c>
      <c r="D47" s="226">
        <v>101.90675262887345</v>
      </c>
      <c r="E47" s="226">
        <v>103.5611049654096</v>
      </c>
      <c r="F47" s="227">
        <v>103.24694668786887</v>
      </c>
    </row>
    <row r="48" spans="1:6" ht="20.100000000000001" customHeight="1" x14ac:dyDescent="0.25">
      <c r="A48" s="228" t="s">
        <v>204</v>
      </c>
      <c r="B48" s="242">
        <v>93.544455665023094</v>
      </c>
      <c r="C48" s="240">
        <v>113.7953928680711</v>
      </c>
      <c r="D48" s="240">
        <v>101.06422220313638</v>
      </c>
      <c r="E48" s="240">
        <v>102.93114884546564</v>
      </c>
      <c r="F48" s="241">
        <v>102.58663564432602</v>
      </c>
    </row>
    <row r="49" spans="1:6" ht="20.100000000000001" customHeight="1" x14ac:dyDescent="0.25">
      <c r="A49" s="247" t="s">
        <v>219</v>
      </c>
      <c r="B49" s="234"/>
      <c r="C49" s="235"/>
      <c r="D49" s="235"/>
      <c r="E49" s="235"/>
      <c r="F49" s="248"/>
    </row>
    <row r="50" spans="1:6" ht="20.100000000000001" customHeight="1" x14ac:dyDescent="0.25">
      <c r="A50" s="224" t="s">
        <v>203</v>
      </c>
      <c r="B50" s="225">
        <v>101.46809029084152</v>
      </c>
      <c r="C50" s="226">
        <v>109.74701629552651</v>
      </c>
      <c r="D50" s="226">
        <v>104.24794898980763</v>
      </c>
      <c r="E50" s="226">
        <v>102.83762296080128</v>
      </c>
      <c r="F50" s="227">
        <v>102.74364684567891</v>
      </c>
    </row>
    <row r="51" spans="1:6" ht="20.100000000000001" customHeight="1" x14ac:dyDescent="0.25">
      <c r="A51" s="257" t="s">
        <v>204</v>
      </c>
      <c r="B51" s="242">
        <v>103.31801655177041</v>
      </c>
      <c r="C51" s="240">
        <v>109.37052385426931</v>
      </c>
      <c r="D51" s="240">
        <v>103.49107018165759</v>
      </c>
      <c r="E51" s="240">
        <v>103.35077370291854</v>
      </c>
      <c r="F51" s="241">
        <v>102.96941170038509</v>
      </c>
    </row>
    <row r="52" spans="1:6" ht="45" x14ac:dyDescent="0.25">
      <c r="A52" s="247" t="s">
        <v>220</v>
      </c>
      <c r="B52" s="234"/>
      <c r="C52" s="235"/>
      <c r="D52" s="235"/>
      <c r="E52" s="235"/>
      <c r="F52" s="248"/>
    </row>
    <row r="53" spans="1:6" ht="20.100000000000001" customHeight="1" x14ac:dyDescent="0.25">
      <c r="A53" s="224" t="s">
        <v>203</v>
      </c>
      <c r="B53" s="225">
        <v>94.950350943682253</v>
      </c>
      <c r="C53" s="226">
        <v>109.33092171778289</v>
      </c>
      <c r="D53" s="226">
        <v>105.43059595284348</v>
      </c>
      <c r="E53" s="226">
        <v>104.42212597190976</v>
      </c>
      <c r="F53" s="227">
        <v>104.25990490108919</v>
      </c>
    </row>
    <row r="54" spans="1:6" ht="20.100000000000001" customHeight="1" thickBot="1" x14ac:dyDescent="0.3">
      <c r="A54" s="249" t="s">
        <v>204</v>
      </c>
      <c r="B54" s="250">
        <v>94.574509198564542</v>
      </c>
      <c r="C54" s="251">
        <v>106.35184265275966</v>
      </c>
      <c r="D54" s="251">
        <v>104.70670171109822</v>
      </c>
      <c r="E54" s="251">
        <v>103.99835018471968</v>
      </c>
      <c r="F54" s="252">
        <v>103.99434219103081</v>
      </c>
    </row>
    <row r="55" spans="1:6" ht="17.25" customHeight="1" x14ac:dyDescent="0.25">
      <c r="A55" s="253" t="s">
        <v>221</v>
      </c>
      <c r="B55" s="254"/>
      <c r="C55" s="255"/>
      <c r="D55" s="255"/>
      <c r="E55" s="255"/>
      <c r="F55" s="256"/>
    </row>
    <row r="56" spans="1:6" ht="20.100000000000001" customHeight="1" x14ac:dyDescent="0.25">
      <c r="A56" s="224" t="s">
        <v>203</v>
      </c>
      <c r="B56" s="225">
        <v>110.52846445616728</v>
      </c>
      <c r="C56" s="226">
        <v>109.41212605830826</v>
      </c>
      <c r="D56" s="226">
        <v>104.50577042858029</v>
      </c>
      <c r="E56" s="226">
        <v>104.41753265805782</v>
      </c>
      <c r="F56" s="227">
        <v>103.89261871399896</v>
      </c>
    </row>
    <row r="57" spans="1:6" ht="20.100000000000001" customHeight="1" x14ac:dyDescent="0.25">
      <c r="A57" s="228" t="s">
        <v>204</v>
      </c>
      <c r="B57" s="242">
        <v>106.40174506467746</v>
      </c>
      <c r="C57" s="240">
        <v>109.16994505421125</v>
      </c>
      <c r="D57" s="240">
        <v>104.52693085388943</v>
      </c>
      <c r="E57" s="240">
        <v>104.39306410456896</v>
      </c>
      <c r="F57" s="241">
        <v>103.91124230437359</v>
      </c>
    </row>
    <row r="58" spans="1:6" ht="15.75" x14ac:dyDescent="0.25">
      <c r="A58" s="247" t="s">
        <v>222</v>
      </c>
      <c r="B58" s="234"/>
      <c r="C58" s="235"/>
      <c r="D58" s="235"/>
      <c r="E58" s="235"/>
      <c r="F58" s="248"/>
    </row>
    <row r="59" spans="1:6" ht="20.100000000000001" customHeight="1" x14ac:dyDescent="0.25">
      <c r="A59" s="224" t="s">
        <v>203</v>
      </c>
      <c r="B59" s="225">
        <v>100.41926863546075</v>
      </c>
      <c r="C59" s="226">
        <v>108.95393819857173</v>
      </c>
      <c r="D59" s="226">
        <v>104.59970662233373</v>
      </c>
      <c r="E59" s="226">
        <v>104.42619715298787</v>
      </c>
      <c r="F59" s="227">
        <v>104.18642016701412</v>
      </c>
    </row>
    <row r="60" spans="1:6" ht="20.100000000000001" customHeight="1" x14ac:dyDescent="0.25">
      <c r="A60" s="257" t="s">
        <v>204</v>
      </c>
      <c r="B60" s="242">
        <v>98.32626193392899</v>
      </c>
      <c r="C60" s="240">
        <v>108.53258483899208</v>
      </c>
      <c r="D60" s="240">
        <v>103.32000289001759</v>
      </c>
      <c r="E60" s="240">
        <v>103.65616313913716</v>
      </c>
      <c r="F60" s="241">
        <v>103.8742043183729</v>
      </c>
    </row>
    <row r="61" spans="1:6" ht="30" x14ac:dyDescent="0.25">
      <c r="A61" s="260" t="s">
        <v>223</v>
      </c>
      <c r="B61" s="244"/>
      <c r="C61" s="245"/>
      <c r="D61" s="245"/>
      <c r="E61" s="245"/>
      <c r="F61" s="261"/>
    </row>
    <row r="62" spans="1:6" ht="20.100000000000001" customHeight="1" x14ac:dyDescent="0.25">
      <c r="A62" s="224" t="s">
        <v>203</v>
      </c>
      <c r="B62" s="225">
        <v>110.29203307005841</v>
      </c>
      <c r="C62" s="226">
        <v>109.22756175461066</v>
      </c>
      <c r="D62" s="226">
        <v>105.55117491398708</v>
      </c>
      <c r="E62" s="226">
        <v>103.49795765273156</v>
      </c>
      <c r="F62" s="227">
        <v>103.62650717891626</v>
      </c>
    </row>
    <row r="63" spans="1:6" ht="20.100000000000001" customHeight="1" x14ac:dyDescent="0.25">
      <c r="A63" s="228" t="s">
        <v>204</v>
      </c>
      <c r="B63" s="242">
        <v>109.93338662153519</v>
      </c>
      <c r="C63" s="240">
        <v>108.20245024700263</v>
      </c>
      <c r="D63" s="240">
        <v>104.71983000436609</v>
      </c>
      <c r="E63" s="240">
        <v>103.92993374264947</v>
      </c>
      <c r="F63" s="241">
        <v>103.82641463382944</v>
      </c>
    </row>
    <row r="64" spans="1:6" ht="30" x14ac:dyDescent="0.25">
      <c r="A64" s="247" t="s">
        <v>224</v>
      </c>
      <c r="B64" s="234"/>
      <c r="C64" s="235"/>
      <c r="D64" s="235"/>
      <c r="E64" s="235"/>
      <c r="F64" s="248"/>
    </row>
    <row r="65" spans="1:6" ht="20.100000000000001" customHeight="1" x14ac:dyDescent="0.25">
      <c r="A65" s="224" t="s">
        <v>203</v>
      </c>
      <c r="B65" s="225">
        <v>104.49646227000133</v>
      </c>
      <c r="C65" s="226">
        <v>113.01049297600562</v>
      </c>
      <c r="D65" s="226">
        <v>103.55230129541629</v>
      </c>
      <c r="E65" s="226">
        <v>104.43694743067356</v>
      </c>
      <c r="F65" s="227">
        <v>103.82855950060856</v>
      </c>
    </row>
    <row r="66" spans="1:6" ht="20.100000000000001" customHeight="1" x14ac:dyDescent="0.25">
      <c r="A66" s="257" t="s">
        <v>204</v>
      </c>
      <c r="B66" s="242">
        <v>103.37954452131572</v>
      </c>
      <c r="C66" s="240">
        <v>110.97072087235141</v>
      </c>
      <c r="D66" s="240">
        <v>103.30449587171518</v>
      </c>
      <c r="E66" s="240">
        <v>104.16867080959172</v>
      </c>
      <c r="F66" s="241">
        <v>103.51977550038623</v>
      </c>
    </row>
    <row r="67" spans="1:6" ht="20.100000000000001" customHeight="1" x14ac:dyDescent="0.25">
      <c r="A67" s="260" t="s">
        <v>225</v>
      </c>
      <c r="B67" s="244"/>
      <c r="C67" s="245"/>
      <c r="D67" s="245"/>
      <c r="E67" s="245"/>
      <c r="F67" s="261"/>
    </row>
    <row r="68" spans="1:6" ht="20.100000000000001" customHeight="1" x14ac:dyDescent="0.25">
      <c r="A68" s="224" t="s">
        <v>203</v>
      </c>
      <c r="B68" s="225">
        <v>109.16730715332838</v>
      </c>
      <c r="C68" s="226">
        <v>108.75668404292173</v>
      </c>
      <c r="D68" s="226">
        <v>106.17092804501536</v>
      </c>
      <c r="E68" s="226">
        <v>104.20084527980846</v>
      </c>
      <c r="F68" s="227">
        <v>104.0486113498621</v>
      </c>
    </row>
    <row r="69" spans="1:6" ht="20.100000000000001" customHeight="1" x14ac:dyDescent="0.25">
      <c r="A69" s="228" t="s">
        <v>204</v>
      </c>
      <c r="B69" s="242">
        <v>108.50257883259356</v>
      </c>
      <c r="C69" s="240">
        <v>108.6234879109581</v>
      </c>
      <c r="D69" s="240">
        <v>105.97521167393482</v>
      </c>
      <c r="E69" s="240">
        <v>104.19328851440443</v>
      </c>
      <c r="F69" s="241">
        <v>104.00485020334651</v>
      </c>
    </row>
    <row r="70" spans="1:6" ht="20.100000000000001" customHeight="1" x14ac:dyDescent="0.25">
      <c r="A70" s="247" t="s">
        <v>165</v>
      </c>
      <c r="B70" s="234"/>
      <c r="C70" s="235"/>
      <c r="D70" s="235"/>
      <c r="E70" s="235"/>
      <c r="F70" s="248"/>
    </row>
    <row r="71" spans="1:6" ht="20.100000000000001" customHeight="1" x14ac:dyDescent="0.25">
      <c r="A71" s="224" t="s">
        <v>203</v>
      </c>
      <c r="B71" s="225">
        <v>98.222538255655678</v>
      </c>
      <c r="C71" s="226">
        <v>124.18304379599927</v>
      </c>
      <c r="D71" s="226">
        <v>103.17765636049434</v>
      </c>
      <c r="E71" s="262">
        <v>103.11765749655233</v>
      </c>
      <c r="F71" s="263">
        <v>102.88766680297876</v>
      </c>
    </row>
    <row r="72" spans="1:6" ht="31.5" x14ac:dyDescent="0.25">
      <c r="A72" s="233" t="s">
        <v>226</v>
      </c>
      <c r="B72" s="264"/>
      <c r="C72" s="265"/>
      <c r="D72" s="265"/>
      <c r="E72" s="265"/>
      <c r="F72" s="236"/>
    </row>
    <row r="73" spans="1:6" ht="20.100000000000001" customHeight="1" x14ac:dyDescent="0.25">
      <c r="A73" s="224" t="s">
        <v>203</v>
      </c>
      <c r="B73" s="225">
        <v>110.71502507364457</v>
      </c>
      <c r="C73" s="226">
        <v>105.78849232481322</v>
      </c>
      <c r="D73" s="226">
        <v>105.45904042552033</v>
      </c>
      <c r="E73" s="226">
        <v>103.74680038325069</v>
      </c>
      <c r="F73" s="227">
        <v>103.76676652832182</v>
      </c>
    </row>
    <row r="74" spans="1:6" ht="20.100000000000001" customHeight="1" x14ac:dyDescent="0.25">
      <c r="A74" s="228" t="s">
        <v>204</v>
      </c>
      <c r="B74" s="242">
        <v>111.7653551590118</v>
      </c>
      <c r="C74" s="240">
        <v>105.9912557345835</v>
      </c>
      <c r="D74" s="240">
        <v>105.70524520411479</v>
      </c>
      <c r="E74" s="240">
        <v>103.98247353807805</v>
      </c>
      <c r="F74" s="241">
        <v>103.96165521445397</v>
      </c>
    </row>
    <row r="75" spans="1:6" ht="31.5" x14ac:dyDescent="0.25">
      <c r="A75" s="233" t="s">
        <v>227</v>
      </c>
      <c r="B75" s="264"/>
      <c r="C75" s="265"/>
      <c r="D75" s="265"/>
      <c r="E75" s="265"/>
      <c r="F75" s="236"/>
    </row>
    <row r="76" spans="1:6" ht="20.100000000000001" customHeight="1" x14ac:dyDescent="0.25">
      <c r="A76" s="224" t="s">
        <v>203</v>
      </c>
      <c r="B76" s="225">
        <v>114.43497487954153</v>
      </c>
      <c r="C76" s="226">
        <v>106.7399289871779</v>
      </c>
      <c r="D76" s="226">
        <v>107.33994190578483</v>
      </c>
      <c r="E76" s="226">
        <v>103.93297564817851</v>
      </c>
      <c r="F76" s="227">
        <v>103.9445860990466</v>
      </c>
    </row>
    <row r="77" spans="1:6" ht="20.100000000000001" customHeight="1" thickBot="1" x14ac:dyDescent="0.3">
      <c r="A77" s="249" t="s">
        <v>204</v>
      </c>
      <c r="B77" s="250">
        <v>109.74722269035979</v>
      </c>
      <c r="C77" s="251">
        <v>106.72909749166793</v>
      </c>
      <c r="D77" s="251">
        <v>107.31339401145779</v>
      </c>
      <c r="E77" s="251">
        <v>103.92409968167496</v>
      </c>
      <c r="F77" s="252">
        <v>103.91097217661938</v>
      </c>
    </row>
    <row r="78" spans="1:6" ht="20.100000000000001" customHeight="1" x14ac:dyDescent="0.25">
      <c r="A78" s="220" t="s">
        <v>228</v>
      </c>
      <c r="B78" s="266"/>
      <c r="C78" s="267"/>
      <c r="D78" s="267"/>
      <c r="E78" s="267"/>
      <c r="F78" s="268"/>
    </row>
    <row r="79" spans="1:6" ht="20.100000000000001" customHeight="1" x14ac:dyDescent="0.25">
      <c r="A79" s="224" t="s">
        <v>203</v>
      </c>
      <c r="B79" s="225">
        <v>97.698361623083755</v>
      </c>
      <c r="C79" s="226">
        <v>109.06463001493762</v>
      </c>
      <c r="D79" s="226">
        <v>104.8099028663496</v>
      </c>
      <c r="E79" s="226">
        <v>103.86085165797947</v>
      </c>
      <c r="F79" s="227">
        <v>103.79793076359542</v>
      </c>
    </row>
    <row r="80" spans="1:6" ht="20.100000000000001" customHeight="1" x14ac:dyDescent="0.25">
      <c r="A80" s="233" t="s">
        <v>229</v>
      </c>
      <c r="B80" s="264"/>
      <c r="C80" s="265"/>
      <c r="D80" s="265"/>
      <c r="E80" s="265"/>
      <c r="F80" s="236"/>
    </row>
    <row r="81" spans="1:6" ht="20.100000000000001" customHeight="1" x14ac:dyDescent="0.25">
      <c r="A81" s="224" t="s">
        <v>203</v>
      </c>
      <c r="B81" s="269">
        <v>92.138973548895493</v>
      </c>
      <c r="C81" s="226">
        <v>110.66634595476918</v>
      </c>
      <c r="D81" s="226">
        <v>104.9706544710659</v>
      </c>
      <c r="E81" s="226">
        <v>103.93130357187843</v>
      </c>
      <c r="F81" s="227">
        <v>103.74738988859605</v>
      </c>
    </row>
    <row r="82" spans="1:6" ht="20.100000000000001" customHeight="1" x14ac:dyDescent="0.25">
      <c r="A82" s="233" t="s">
        <v>230</v>
      </c>
      <c r="B82" s="264"/>
      <c r="C82" s="265"/>
      <c r="D82" s="265"/>
      <c r="E82" s="265"/>
      <c r="F82" s="236"/>
    </row>
    <row r="83" spans="1:6" ht="20.100000000000001" customHeight="1" x14ac:dyDescent="0.25">
      <c r="A83" s="224" t="s">
        <v>203</v>
      </c>
      <c r="B83" s="269">
        <v>105.04426413419388</v>
      </c>
      <c r="C83" s="226">
        <v>107.02608245515199</v>
      </c>
      <c r="D83" s="226">
        <v>104.6053099148925</v>
      </c>
      <c r="E83" s="226">
        <v>103.7711855857444</v>
      </c>
      <c r="F83" s="227">
        <v>103.8622555135946</v>
      </c>
    </row>
    <row r="84" spans="1:6" ht="20.100000000000001" customHeight="1" x14ac:dyDescent="0.25">
      <c r="A84" s="270" t="s">
        <v>231</v>
      </c>
      <c r="B84" s="242">
        <v>103.84</v>
      </c>
      <c r="C84" s="240">
        <v>106.62005664920137</v>
      </c>
      <c r="D84" s="240">
        <v>104.34403481161287</v>
      </c>
      <c r="E84" s="240">
        <v>103.81930670147545</v>
      </c>
      <c r="F84" s="241">
        <v>103.88777359184562</v>
      </c>
    </row>
    <row r="85" spans="1:6" ht="16.5" customHeight="1" x14ac:dyDescent="0.25">
      <c r="A85" s="233" t="s">
        <v>232</v>
      </c>
      <c r="B85" s="271"/>
      <c r="C85" s="272"/>
      <c r="D85" s="272"/>
      <c r="E85" s="272"/>
      <c r="F85" s="273"/>
    </row>
    <row r="86" spans="1:6" ht="20.100000000000001" customHeight="1" x14ac:dyDescent="0.25">
      <c r="A86" s="224" t="s">
        <v>233</v>
      </c>
      <c r="B86" s="269">
        <v>115.6986806086489</v>
      </c>
      <c r="C86" s="226">
        <v>108.58685392651029</v>
      </c>
      <c r="D86" s="226">
        <v>105.86936225362591</v>
      </c>
      <c r="E86" s="226">
        <v>104.41745941241025</v>
      </c>
      <c r="F86" s="227">
        <v>104.19299538490499</v>
      </c>
    </row>
    <row r="87" spans="1:6" ht="20.100000000000001" customHeight="1" x14ac:dyDescent="0.25">
      <c r="A87" s="274" t="s">
        <v>234</v>
      </c>
      <c r="B87" s="229">
        <v>119.66</v>
      </c>
      <c r="C87" s="230">
        <v>109.79368853682099</v>
      </c>
      <c r="D87" s="230">
        <v>106.31905605513414</v>
      </c>
      <c r="E87" s="230">
        <v>104.34968084457263</v>
      </c>
      <c r="F87" s="231">
        <v>104.02960037838895</v>
      </c>
    </row>
    <row r="88" spans="1:6" ht="20.100000000000001" customHeight="1" x14ac:dyDescent="0.25">
      <c r="A88" s="275" t="s">
        <v>235</v>
      </c>
      <c r="B88" s="242">
        <v>110.52</v>
      </c>
      <c r="C88" s="240">
        <v>112.17655978189482</v>
      </c>
      <c r="D88" s="240">
        <v>104.47663425864364</v>
      </c>
      <c r="E88" s="240">
        <v>103.98693979595515</v>
      </c>
      <c r="F88" s="241">
        <v>103.99672308118892</v>
      </c>
    </row>
    <row r="89" spans="1:6" ht="20.100000000000001" customHeight="1" x14ac:dyDescent="0.25">
      <c r="A89" s="243" t="s">
        <v>236</v>
      </c>
      <c r="B89" s="276"/>
      <c r="C89" s="277"/>
      <c r="D89" s="277"/>
      <c r="E89" s="277"/>
      <c r="F89" s="278"/>
    </row>
    <row r="90" spans="1:6" ht="20.100000000000001" customHeight="1" x14ac:dyDescent="0.25">
      <c r="A90" s="224" t="s">
        <v>203</v>
      </c>
      <c r="B90" s="225">
        <v>109.09646626082731</v>
      </c>
      <c r="C90" s="226">
        <v>108.42967521338068</v>
      </c>
      <c r="D90" s="226">
        <v>107.27004884024396</v>
      </c>
      <c r="E90" s="226">
        <v>105.33088813429497</v>
      </c>
      <c r="F90" s="227">
        <v>104.41983887111097</v>
      </c>
    </row>
    <row r="91" spans="1:6" ht="20.100000000000001" customHeight="1" x14ac:dyDescent="0.25">
      <c r="A91" s="257" t="s">
        <v>237</v>
      </c>
      <c r="B91" s="242">
        <v>109.37</v>
      </c>
      <c r="C91" s="240"/>
      <c r="D91" s="240"/>
      <c r="E91" s="240"/>
      <c r="F91" s="241"/>
    </row>
    <row r="92" spans="1:6" ht="20.100000000000001" customHeight="1" x14ac:dyDescent="0.25">
      <c r="A92" s="243" t="s">
        <v>238</v>
      </c>
      <c r="B92" s="276"/>
      <c r="C92" s="277"/>
      <c r="D92" s="277"/>
      <c r="E92" s="277"/>
      <c r="F92" s="278"/>
    </row>
    <row r="93" spans="1:6" ht="20.100000000000001" customHeight="1" x14ac:dyDescent="0.25">
      <c r="A93" s="224" t="s">
        <v>203</v>
      </c>
      <c r="B93" s="269">
        <v>106.443170374801</v>
      </c>
      <c r="C93" s="226">
        <v>106.41358205547593</v>
      </c>
      <c r="D93" s="226">
        <v>105.55146444861198</v>
      </c>
      <c r="E93" s="226">
        <v>105.26850075493617</v>
      </c>
      <c r="F93" s="227">
        <v>104.50952927519765</v>
      </c>
    </row>
    <row r="94" spans="1:6" ht="20.100000000000001" customHeight="1" x14ac:dyDescent="0.25">
      <c r="A94" s="257" t="s">
        <v>204</v>
      </c>
      <c r="B94" s="242">
        <v>106.32</v>
      </c>
      <c r="C94" s="240">
        <v>106.39796868626902</v>
      </c>
      <c r="D94" s="240">
        <v>104.5112992708616</v>
      </c>
      <c r="E94" s="240">
        <v>104.21864132663761</v>
      </c>
      <c r="F94" s="241">
        <v>104.04635423493814</v>
      </c>
    </row>
    <row r="95" spans="1:6" ht="20.100000000000001" customHeight="1" x14ac:dyDescent="0.25">
      <c r="A95" s="233" t="s">
        <v>239</v>
      </c>
      <c r="B95" s="271"/>
      <c r="C95" s="272"/>
      <c r="D95" s="272"/>
      <c r="E95" s="272"/>
      <c r="F95" s="273"/>
    </row>
    <row r="96" spans="1:6" ht="20.100000000000001" customHeight="1" x14ac:dyDescent="0.25">
      <c r="A96" s="224" t="s">
        <v>240</v>
      </c>
      <c r="B96" s="225">
        <v>104.64212472369829</v>
      </c>
      <c r="C96" s="226">
        <v>107.33999999999999</v>
      </c>
      <c r="D96" s="226">
        <v>104.26979999999999</v>
      </c>
      <c r="E96" s="226">
        <v>104.2171</v>
      </c>
      <c r="F96" s="227">
        <v>104.08999999999999</v>
      </c>
    </row>
    <row r="97" spans="1:6" ht="20.100000000000001" customHeight="1" x14ac:dyDescent="0.25">
      <c r="A97" s="228" t="s">
        <v>241</v>
      </c>
      <c r="B97" s="229">
        <v>104.26773052621139</v>
      </c>
      <c r="C97" s="230">
        <v>105.83526558898784</v>
      </c>
      <c r="D97" s="230">
        <v>103.93540666923739</v>
      </c>
      <c r="E97" s="230">
        <v>103.85275785389419</v>
      </c>
      <c r="F97" s="231">
        <v>103.7890107249814</v>
      </c>
    </row>
    <row r="98" spans="1:6" ht="20.100000000000001" customHeight="1" x14ac:dyDescent="0.25">
      <c r="A98" s="224" t="s">
        <v>242</v>
      </c>
      <c r="B98" s="225">
        <v>109.51027575856924</v>
      </c>
      <c r="C98" s="226">
        <v>106.98</v>
      </c>
      <c r="D98" s="226">
        <v>106.31399999999999</v>
      </c>
      <c r="E98" s="226">
        <v>104.5</v>
      </c>
      <c r="F98" s="227">
        <v>104.21000000000001</v>
      </c>
    </row>
    <row r="99" spans="1:6" ht="20.100000000000001" customHeight="1" thickBot="1" x14ac:dyDescent="0.3">
      <c r="A99" s="249" t="s">
        <v>243</v>
      </c>
      <c r="B99" s="250">
        <v>110.40812829467856</v>
      </c>
      <c r="C99" s="251">
        <v>108.76061155196449</v>
      </c>
      <c r="D99" s="251">
        <v>106.67434517509329</v>
      </c>
      <c r="E99" s="251">
        <v>104.30139922342573</v>
      </c>
      <c r="F99" s="252">
        <v>104.3713976433156</v>
      </c>
    </row>
    <row r="100" spans="1:6" ht="15" customHeight="1" x14ac:dyDescent="0.25">
      <c r="A100" s="279" t="s">
        <v>244</v>
      </c>
      <c r="B100" s="280"/>
      <c r="C100" s="280"/>
      <c r="D100" s="280"/>
      <c r="E100" s="280"/>
      <c r="F100" s="280"/>
    </row>
    <row r="101" spans="1:6" ht="14.25" customHeight="1" x14ac:dyDescent="0.25">
      <c r="A101" s="281" t="s">
        <v>245</v>
      </c>
      <c r="B101" s="282"/>
      <c r="C101" s="282"/>
      <c r="D101" s="282"/>
      <c r="E101" s="282"/>
      <c r="F101" s="282"/>
    </row>
    <row r="102" spans="1:6" ht="27" customHeight="1" x14ac:dyDescent="0.25">
      <c r="A102" s="321" t="s">
        <v>246</v>
      </c>
      <c r="B102" s="322"/>
      <c r="C102" s="322"/>
      <c r="D102" s="322"/>
      <c r="E102" s="322"/>
      <c r="F102" s="322"/>
    </row>
    <row r="103" spans="1:6" ht="15.75" x14ac:dyDescent="0.25">
      <c r="A103" s="279" t="s">
        <v>247</v>
      </c>
      <c r="B103" s="283"/>
      <c r="C103" s="283"/>
      <c r="D103" s="283"/>
      <c r="E103" s="283"/>
      <c r="F103" s="283"/>
    </row>
    <row r="104" spans="1:6" ht="15.75" x14ac:dyDescent="0.25">
      <c r="A104" s="279" t="s">
        <v>248</v>
      </c>
      <c r="B104" s="283"/>
      <c r="C104" s="283"/>
      <c r="D104" s="283"/>
      <c r="E104" s="283"/>
      <c r="F104" s="283"/>
    </row>
    <row r="105" spans="1:6" ht="15.75" x14ac:dyDescent="0.25">
      <c r="A105" s="279" t="s">
        <v>249</v>
      </c>
      <c r="B105" s="284"/>
      <c r="C105" s="284"/>
      <c r="D105" s="284"/>
      <c r="E105" s="284"/>
      <c r="F105" s="284"/>
    </row>
    <row r="106" spans="1:6" ht="15" customHeight="1" x14ac:dyDescent="0.25">
      <c r="A106" s="279" t="s">
        <v>250</v>
      </c>
      <c r="B106" s="282"/>
      <c r="C106" s="282"/>
      <c r="D106" s="282"/>
      <c r="E106" s="282"/>
      <c r="F106" s="282"/>
    </row>
  </sheetData>
  <mergeCells count="6">
    <mergeCell ref="A102:F102"/>
    <mergeCell ref="A1:F2"/>
    <mergeCell ref="A3:F3"/>
    <mergeCell ref="A4:F4"/>
    <mergeCell ref="A5:A6"/>
    <mergeCell ref="D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91B2D-822D-4CFE-B601-BF97C9E749B9}">
  <dimension ref="A1:V68"/>
  <sheetViews>
    <sheetView topLeftCell="B1" workbookViewId="0">
      <selection activeCell="AJ22" sqref="AJ22:AK22"/>
    </sheetView>
  </sheetViews>
  <sheetFormatPr defaultColWidth="0" defaultRowHeight="12" x14ac:dyDescent="0.2"/>
  <cols>
    <col min="1" max="1" width="0.5703125" style="69" hidden="1"/>
    <col min="2" max="2" width="57.140625" style="69" customWidth="1"/>
    <col min="3" max="3" width="5.7109375" style="69" hidden="1"/>
    <col min="4" max="4" width="9.140625" style="69" hidden="1"/>
    <col min="5" max="5" width="8.140625" style="69" hidden="1"/>
    <col min="6" max="7" width="7.85546875" style="69" hidden="1"/>
    <col min="8" max="8" width="10.7109375" style="69" hidden="1"/>
    <col min="9" max="10" width="9.140625" style="69" hidden="1"/>
    <col min="11" max="11" width="9" style="69" hidden="1"/>
    <col min="12" max="12" width="8.85546875" style="178" hidden="1"/>
    <col min="13" max="15" width="9.140625" style="69" hidden="1"/>
    <col min="16" max="17" width="9.140625" style="69" hidden="1" customWidth="1"/>
    <col min="18" max="18" width="8.140625" style="69" customWidth="1"/>
    <col min="19" max="19" width="8.28515625" style="69" customWidth="1"/>
    <col min="20" max="20" width="8.42578125" style="69" customWidth="1"/>
    <col min="21" max="21" width="8.28515625" style="69" customWidth="1"/>
    <col min="22" max="22" width="8.42578125" style="69" customWidth="1"/>
    <col min="23" max="254" width="9.140625" style="69" customWidth="1"/>
    <col min="255" max="257" width="0" style="69" hidden="1"/>
    <col min="258" max="258" width="42.5703125" style="69" customWidth="1"/>
    <col min="259" max="268" width="0" style="69" hidden="1"/>
    <col min="269" max="510" width="9.140625" style="69" customWidth="1"/>
    <col min="511" max="513" width="0" style="69" hidden="1"/>
    <col min="514" max="514" width="42.5703125" style="69" customWidth="1"/>
    <col min="515" max="524" width="0" style="69" hidden="1"/>
    <col min="525" max="766" width="9.140625" style="69" customWidth="1"/>
    <col min="767" max="769" width="0" style="69" hidden="1"/>
    <col min="770" max="770" width="42.5703125" style="69" customWidth="1"/>
    <col min="771" max="780" width="0" style="69" hidden="1"/>
    <col min="781" max="1022" width="9.140625" style="69" customWidth="1"/>
    <col min="1023" max="1025" width="0" style="69" hidden="1"/>
    <col min="1026" max="1026" width="42.5703125" style="69" customWidth="1"/>
    <col min="1027" max="1036" width="0" style="69" hidden="1"/>
    <col min="1037" max="1278" width="9.140625" style="69" customWidth="1"/>
    <col min="1279" max="1281" width="0" style="69" hidden="1"/>
    <col min="1282" max="1282" width="42.5703125" style="69" customWidth="1"/>
    <col min="1283" max="1292" width="0" style="69" hidden="1"/>
    <col min="1293" max="1534" width="9.140625" style="69" customWidth="1"/>
    <col min="1535" max="1537" width="0" style="69" hidden="1"/>
    <col min="1538" max="1538" width="42.5703125" style="69" customWidth="1"/>
    <col min="1539" max="1548" width="0" style="69" hidden="1"/>
    <col min="1549" max="1790" width="9.140625" style="69" customWidth="1"/>
    <col min="1791" max="1793" width="0" style="69" hidden="1"/>
    <col min="1794" max="1794" width="42.5703125" style="69" customWidth="1"/>
    <col min="1795" max="1804" width="0" style="69" hidden="1"/>
    <col min="1805" max="2046" width="9.140625" style="69" customWidth="1"/>
    <col min="2047" max="2049" width="0" style="69" hidden="1"/>
    <col min="2050" max="2050" width="42.5703125" style="69" customWidth="1"/>
    <col min="2051" max="2060" width="0" style="69" hidden="1"/>
    <col min="2061" max="2302" width="9.140625" style="69" customWidth="1"/>
    <col min="2303" max="2305" width="0" style="69" hidden="1"/>
    <col min="2306" max="2306" width="42.5703125" style="69" customWidth="1"/>
    <col min="2307" max="2316" width="0" style="69" hidden="1"/>
    <col min="2317" max="2558" width="9.140625" style="69" customWidth="1"/>
    <col min="2559" max="2561" width="0" style="69" hidden="1"/>
    <col min="2562" max="2562" width="42.5703125" style="69" customWidth="1"/>
    <col min="2563" max="2572" width="0" style="69" hidden="1"/>
    <col min="2573" max="2814" width="9.140625" style="69" customWidth="1"/>
    <col min="2815" max="2817" width="0" style="69" hidden="1"/>
    <col min="2818" max="2818" width="42.5703125" style="69" customWidth="1"/>
    <col min="2819" max="2828" width="0" style="69" hidden="1"/>
    <col min="2829" max="3070" width="9.140625" style="69" customWidth="1"/>
    <col min="3071" max="3073" width="0" style="69" hidden="1"/>
    <col min="3074" max="3074" width="42.5703125" style="69" customWidth="1"/>
    <col min="3075" max="3084" width="0" style="69" hidden="1"/>
    <col min="3085" max="3326" width="9.140625" style="69" customWidth="1"/>
    <col min="3327" max="3329" width="0" style="69" hidden="1"/>
    <col min="3330" max="3330" width="42.5703125" style="69" customWidth="1"/>
    <col min="3331" max="3340" width="0" style="69" hidden="1"/>
    <col min="3341" max="3582" width="9.140625" style="69" customWidth="1"/>
    <col min="3583" max="3585" width="0" style="69" hidden="1"/>
    <col min="3586" max="3586" width="42.5703125" style="69" customWidth="1"/>
    <col min="3587" max="3596" width="0" style="69" hidden="1"/>
    <col min="3597" max="3838" width="9.140625" style="69" customWidth="1"/>
    <col min="3839" max="3841" width="0" style="69" hidden="1"/>
    <col min="3842" max="3842" width="42.5703125" style="69" customWidth="1"/>
    <col min="3843" max="3852" width="0" style="69" hidden="1"/>
    <col min="3853" max="4094" width="9.140625" style="69" customWidth="1"/>
    <col min="4095" max="4097" width="0" style="69" hidden="1"/>
    <col min="4098" max="4098" width="42.5703125" style="69" customWidth="1"/>
    <col min="4099" max="4108" width="0" style="69" hidden="1"/>
    <col min="4109" max="4350" width="9.140625" style="69" customWidth="1"/>
    <col min="4351" max="4353" width="0" style="69" hidden="1"/>
    <col min="4354" max="4354" width="42.5703125" style="69" customWidth="1"/>
    <col min="4355" max="4364" width="0" style="69" hidden="1"/>
    <col min="4365" max="4606" width="9.140625" style="69" customWidth="1"/>
    <col min="4607" max="4609" width="0" style="69" hidden="1"/>
    <col min="4610" max="4610" width="42.5703125" style="69" customWidth="1"/>
    <col min="4611" max="4620" width="0" style="69" hidden="1"/>
    <col min="4621" max="4862" width="9.140625" style="69" customWidth="1"/>
    <col min="4863" max="4865" width="0" style="69" hidden="1"/>
    <col min="4866" max="4866" width="42.5703125" style="69" customWidth="1"/>
    <col min="4867" max="4876" width="0" style="69" hidden="1"/>
    <col min="4877" max="5118" width="9.140625" style="69" customWidth="1"/>
    <col min="5119" max="5121" width="0" style="69" hidden="1"/>
    <col min="5122" max="5122" width="42.5703125" style="69" customWidth="1"/>
    <col min="5123" max="5132" width="0" style="69" hidden="1"/>
    <col min="5133" max="5374" width="9.140625" style="69" customWidth="1"/>
    <col min="5375" max="5377" width="0" style="69" hidden="1"/>
    <col min="5378" max="5378" width="42.5703125" style="69" customWidth="1"/>
    <col min="5379" max="5388" width="0" style="69" hidden="1"/>
    <col min="5389" max="5630" width="9.140625" style="69" customWidth="1"/>
    <col min="5631" max="5633" width="0" style="69" hidden="1"/>
    <col min="5634" max="5634" width="42.5703125" style="69" customWidth="1"/>
    <col min="5635" max="5644" width="0" style="69" hidden="1"/>
    <col min="5645" max="5886" width="9.140625" style="69" customWidth="1"/>
    <col min="5887" max="5889" width="0" style="69" hidden="1"/>
    <col min="5890" max="5890" width="42.5703125" style="69" customWidth="1"/>
    <col min="5891" max="5900" width="0" style="69" hidden="1"/>
    <col min="5901" max="6142" width="9.140625" style="69" customWidth="1"/>
    <col min="6143" max="6145" width="0" style="69" hidden="1"/>
    <col min="6146" max="6146" width="42.5703125" style="69" customWidth="1"/>
    <col min="6147" max="6156" width="0" style="69" hidden="1"/>
    <col min="6157" max="6398" width="9.140625" style="69" customWidth="1"/>
    <col min="6399" max="6401" width="0" style="69" hidden="1"/>
    <col min="6402" max="6402" width="42.5703125" style="69" customWidth="1"/>
    <col min="6403" max="6412" width="0" style="69" hidden="1"/>
    <col min="6413" max="6654" width="9.140625" style="69" customWidth="1"/>
    <col min="6655" max="6657" width="0" style="69" hidden="1"/>
    <col min="6658" max="6658" width="42.5703125" style="69" customWidth="1"/>
    <col min="6659" max="6668" width="0" style="69" hidden="1"/>
    <col min="6669" max="6910" width="9.140625" style="69" customWidth="1"/>
    <col min="6911" max="6913" width="0" style="69" hidden="1"/>
    <col min="6914" max="6914" width="42.5703125" style="69" customWidth="1"/>
    <col min="6915" max="6924" width="0" style="69" hidden="1"/>
    <col min="6925" max="7166" width="9.140625" style="69" customWidth="1"/>
    <col min="7167" max="7169" width="0" style="69" hidden="1"/>
    <col min="7170" max="7170" width="42.5703125" style="69" customWidth="1"/>
    <col min="7171" max="7180" width="0" style="69" hidden="1"/>
    <col min="7181" max="7422" width="9.140625" style="69" customWidth="1"/>
    <col min="7423" max="7425" width="0" style="69" hidden="1"/>
    <col min="7426" max="7426" width="42.5703125" style="69" customWidth="1"/>
    <col min="7427" max="7436" width="0" style="69" hidden="1"/>
    <col min="7437" max="7678" width="9.140625" style="69" customWidth="1"/>
    <col min="7679" max="7681" width="0" style="69" hidden="1"/>
    <col min="7682" max="7682" width="42.5703125" style="69" customWidth="1"/>
    <col min="7683" max="7692" width="0" style="69" hidden="1"/>
    <col min="7693" max="7934" width="9.140625" style="69" customWidth="1"/>
    <col min="7935" max="7937" width="0" style="69" hidden="1"/>
    <col min="7938" max="7938" width="42.5703125" style="69" customWidth="1"/>
    <col min="7939" max="7948" width="0" style="69" hidden="1"/>
    <col min="7949" max="8190" width="9.140625" style="69" customWidth="1"/>
    <col min="8191" max="8193" width="0" style="69" hidden="1"/>
    <col min="8194" max="8194" width="42.5703125" style="69" customWidth="1"/>
    <col min="8195" max="8204" width="0" style="69" hidden="1"/>
    <col min="8205" max="8446" width="9.140625" style="69" customWidth="1"/>
    <col min="8447" max="8449" width="0" style="69" hidden="1"/>
    <col min="8450" max="8450" width="42.5703125" style="69" customWidth="1"/>
    <col min="8451" max="8460" width="0" style="69" hidden="1"/>
    <col min="8461" max="8702" width="9.140625" style="69" customWidth="1"/>
    <col min="8703" max="8705" width="0" style="69" hidden="1"/>
    <col min="8706" max="8706" width="42.5703125" style="69" customWidth="1"/>
    <col min="8707" max="8716" width="0" style="69" hidden="1"/>
    <col min="8717" max="8958" width="9.140625" style="69" customWidth="1"/>
    <col min="8959" max="8961" width="0" style="69" hidden="1"/>
    <col min="8962" max="8962" width="42.5703125" style="69" customWidth="1"/>
    <col min="8963" max="8972" width="0" style="69" hidden="1"/>
    <col min="8973" max="9214" width="9.140625" style="69" customWidth="1"/>
    <col min="9215" max="9217" width="0" style="69" hidden="1"/>
    <col min="9218" max="9218" width="42.5703125" style="69" customWidth="1"/>
    <col min="9219" max="9228" width="0" style="69" hidden="1"/>
    <col min="9229" max="9470" width="9.140625" style="69" customWidth="1"/>
    <col min="9471" max="9473" width="0" style="69" hidden="1"/>
    <col min="9474" max="9474" width="42.5703125" style="69" customWidth="1"/>
    <col min="9475" max="9484" width="0" style="69" hidden="1"/>
    <col min="9485" max="9726" width="9.140625" style="69" customWidth="1"/>
    <col min="9727" max="9729" width="0" style="69" hidden="1"/>
    <col min="9730" max="9730" width="42.5703125" style="69" customWidth="1"/>
    <col min="9731" max="9740" width="0" style="69" hidden="1"/>
    <col min="9741" max="9982" width="9.140625" style="69" customWidth="1"/>
    <col min="9983" max="9985" width="0" style="69" hidden="1"/>
    <col min="9986" max="9986" width="42.5703125" style="69" customWidth="1"/>
    <col min="9987" max="9996" width="0" style="69" hidden="1"/>
    <col min="9997" max="10238" width="9.140625" style="69" customWidth="1"/>
    <col min="10239" max="10241" width="0" style="69" hidden="1"/>
    <col min="10242" max="10242" width="42.5703125" style="69" customWidth="1"/>
    <col min="10243" max="10252" width="0" style="69" hidden="1"/>
    <col min="10253" max="10494" width="9.140625" style="69" customWidth="1"/>
    <col min="10495" max="10497" width="0" style="69" hidden="1"/>
    <col min="10498" max="10498" width="42.5703125" style="69" customWidth="1"/>
    <col min="10499" max="10508" width="0" style="69" hidden="1"/>
    <col min="10509" max="10750" width="9.140625" style="69" customWidth="1"/>
    <col min="10751" max="10753" width="0" style="69" hidden="1"/>
    <col min="10754" max="10754" width="42.5703125" style="69" customWidth="1"/>
    <col min="10755" max="10764" width="0" style="69" hidden="1"/>
    <col min="10765" max="11006" width="9.140625" style="69" customWidth="1"/>
    <col min="11007" max="11009" width="0" style="69" hidden="1"/>
    <col min="11010" max="11010" width="42.5703125" style="69" customWidth="1"/>
    <col min="11011" max="11020" width="0" style="69" hidden="1"/>
    <col min="11021" max="11262" width="9.140625" style="69" customWidth="1"/>
    <col min="11263" max="11265" width="0" style="69" hidden="1"/>
    <col min="11266" max="11266" width="42.5703125" style="69" customWidth="1"/>
    <col min="11267" max="11276" width="0" style="69" hidden="1"/>
    <col min="11277" max="11518" width="9.140625" style="69" customWidth="1"/>
    <col min="11519" max="11521" width="0" style="69" hidden="1"/>
    <col min="11522" max="11522" width="42.5703125" style="69" customWidth="1"/>
    <col min="11523" max="11532" width="0" style="69" hidden="1"/>
    <col min="11533" max="11774" width="9.140625" style="69" customWidth="1"/>
    <col min="11775" max="11777" width="0" style="69" hidden="1"/>
    <col min="11778" max="11778" width="42.5703125" style="69" customWidth="1"/>
    <col min="11779" max="11788" width="0" style="69" hidden="1"/>
    <col min="11789" max="12030" width="9.140625" style="69" customWidth="1"/>
    <col min="12031" max="12033" width="0" style="69" hidden="1"/>
    <col min="12034" max="12034" width="42.5703125" style="69" customWidth="1"/>
    <col min="12035" max="12044" width="0" style="69" hidden="1"/>
    <col min="12045" max="12286" width="9.140625" style="69" customWidth="1"/>
    <col min="12287" max="12289" width="0" style="69" hidden="1"/>
    <col min="12290" max="12290" width="42.5703125" style="69" customWidth="1"/>
    <col min="12291" max="12300" width="0" style="69" hidden="1"/>
    <col min="12301" max="12542" width="9.140625" style="69" customWidth="1"/>
    <col min="12543" max="12545" width="0" style="69" hidden="1"/>
    <col min="12546" max="12546" width="42.5703125" style="69" customWidth="1"/>
    <col min="12547" max="12556" width="0" style="69" hidden="1"/>
    <col min="12557" max="12798" width="9.140625" style="69" customWidth="1"/>
    <col min="12799" max="12801" width="0" style="69" hidden="1"/>
    <col min="12802" max="12802" width="42.5703125" style="69" customWidth="1"/>
    <col min="12803" max="12812" width="0" style="69" hidden="1"/>
    <col min="12813" max="13054" width="9.140625" style="69" customWidth="1"/>
    <col min="13055" max="13057" width="0" style="69" hidden="1"/>
    <col min="13058" max="13058" width="42.5703125" style="69" customWidth="1"/>
    <col min="13059" max="13068" width="0" style="69" hidden="1"/>
    <col min="13069" max="13310" width="9.140625" style="69" customWidth="1"/>
    <col min="13311" max="13313" width="0" style="69" hidden="1"/>
    <col min="13314" max="13314" width="42.5703125" style="69" customWidth="1"/>
    <col min="13315" max="13324" width="0" style="69" hidden="1"/>
    <col min="13325" max="13566" width="9.140625" style="69" customWidth="1"/>
    <col min="13567" max="13569" width="0" style="69" hidden="1"/>
    <col min="13570" max="13570" width="42.5703125" style="69" customWidth="1"/>
    <col min="13571" max="13580" width="0" style="69" hidden="1"/>
    <col min="13581" max="13822" width="9.140625" style="69" customWidth="1"/>
    <col min="13823" max="13825" width="0" style="69" hidden="1"/>
    <col min="13826" max="13826" width="42.5703125" style="69" customWidth="1"/>
    <col min="13827" max="13836" width="0" style="69" hidden="1"/>
    <col min="13837" max="14078" width="9.140625" style="69" customWidth="1"/>
    <col min="14079" max="14081" width="0" style="69" hidden="1"/>
    <col min="14082" max="14082" width="42.5703125" style="69" customWidth="1"/>
    <col min="14083" max="14092" width="0" style="69" hidden="1"/>
    <col min="14093" max="14334" width="9.140625" style="69" customWidth="1"/>
    <col min="14335" max="14337" width="0" style="69" hidden="1"/>
    <col min="14338" max="14338" width="42.5703125" style="69" customWidth="1"/>
    <col min="14339" max="14348" width="0" style="69" hidden="1"/>
    <col min="14349" max="14590" width="9.140625" style="69" customWidth="1"/>
    <col min="14591" max="14593" width="0" style="69" hidden="1"/>
    <col min="14594" max="14594" width="42.5703125" style="69" customWidth="1"/>
    <col min="14595" max="14604" width="0" style="69" hidden="1"/>
    <col min="14605" max="14846" width="9.140625" style="69" customWidth="1"/>
    <col min="14847" max="14849" width="0" style="69" hidden="1"/>
    <col min="14850" max="14850" width="42.5703125" style="69" customWidth="1"/>
    <col min="14851" max="14860" width="0" style="69" hidden="1"/>
    <col min="14861" max="15102" width="9.140625" style="69" customWidth="1"/>
    <col min="15103" max="15105" width="0" style="69" hidden="1"/>
    <col min="15106" max="15106" width="42.5703125" style="69" customWidth="1"/>
    <col min="15107" max="15116" width="0" style="69" hidden="1"/>
    <col min="15117" max="15358" width="9.140625" style="69" customWidth="1"/>
    <col min="15359" max="15361" width="0" style="69" hidden="1"/>
    <col min="15362" max="15362" width="42.5703125" style="69" customWidth="1"/>
    <col min="15363" max="15372" width="0" style="69" hidden="1"/>
    <col min="15373" max="15614" width="9.140625" style="69" customWidth="1"/>
    <col min="15615" max="15617" width="0" style="69" hidden="1"/>
    <col min="15618" max="15618" width="42.5703125" style="69" customWidth="1"/>
    <col min="15619" max="15628" width="0" style="69" hidden="1"/>
    <col min="15629" max="15870" width="9.140625" style="69" customWidth="1"/>
    <col min="15871" max="15873" width="0" style="69" hidden="1"/>
    <col min="15874" max="15874" width="42.5703125" style="69" customWidth="1"/>
    <col min="15875" max="15884" width="0" style="69" hidden="1"/>
    <col min="15885" max="16126" width="9.140625" style="69" customWidth="1"/>
    <col min="16127" max="16129" width="0" style="69" hidden="1"/>
    <col min="16130" max="16130" width="42.5703125" style="69" customWidth="1"/>
    <col min="16131" max="16140" width="0" style="69" hidden="1"/>
    <col min="16141" max="16382" width="9.140625" style="69" customWidth="1"/>
    <col min="16383" max="16384" width="0" style="69" hidden="1"/>
  </cols>
  <sheetData>
    <row r="1" spans="2:22" ht="18.75" thickBot="1" x14ac:dyDescent="0.3">
      <c r="B1" s="94"/>
      <c r="J1" s="94"/>
      <c r="K1" s="94"/>
      <c r="L1" s="95"/>
      <c r="M1" s="94"/>
      <c r="V1" s="61" t="s">
        <v>31</v>
      </c>
    </row>
    <row r="2" spans="2:22" ht="24.75" thickBot="1" x14ac:dyDescent="0.25">
      <c r="B2" s="96" t="s">
        <v>166</v>
      </c>
      <c r="C2" s="97" t="s">
        <v>167</v>
      </c>
      <c r="D2" s="98">
        <v>2008</v>
      </c>
      <c r="E2" s="98">
        <v>2008</v>
      </c>
      <c r="F2" s="98">
        <v>2009</v>
      </c>
      <c r="G2" s="98">
        <v>2010</v>
      </c>
      <c r="H2" s="98">
        <v>2011</v>
      </c>
      <c r="I2" s="98">
        <v>2012</v>
      </c>
      <c r="J2" s="99">
        <v>2014</v>
      </c>
      <c r="K2" s="100">
        <v>2015</v>
      </c>
      <c r="L2" s="101">
        <v>2016</v>
      </c>
      <c r="M2" s="102">
        <v>2018</v>
      </c>
      <c r="N2" s="102">
        <v>2019</v>
      </c>
      <c r="O2" s="101">
        <v>2020</v>
      </c>
      <c r="P2" s="101">
        <v>2021</v>
      </c>
      <c r="Q2" s="102">
        <v>2022</v>
      </c>
      <c r="R2" s="103">
        <v>2023</v>
      </c>
      <c r="S2" s="104">
        <v>2024</v>
      </c>
      <c r="T2" s="101">
        <v>2025</v>
      </c>
      <c r="U2" s="101">
        <v>2026</v>
      </c>
      <c r="V2" s="102">
        <v>2027</v>
      </c>
    </row>
    <row r="3" spans="2:22" ht="15.75" customHeight="1" thickBot="1" x14ac:dyDescent="0.25">
      <c r="B3" s="105" t="s">
        <v>168</v>
      </c>
      <c r="C3" s="98" t="s">
        <v>31</v>
      </c>
      <c r="D3" s="106" t="e">
        <f>SUM(#REF!)</f>
        <v>#REF!</v>
      </c>
      <c r="E3" s="106" t="e">
        <f>SUM(#REF!)</f>
        <v>#REF!</v>
      </c>
      <c r="F3" s="106" t="e">
        <f>SUM(#REF!)</f>
        <v>#REF!</v>
      </c>
      <c r="G3" s="106" t="e">
        <f>SUM(#REF!)</f>
        <v>#REF!</v>
      </c>
      <c r="H3" s="106" t="e">
        <f>SUM(#REF!)</f>
        <v>#REF!</v>
      </c>
      <c r="I3" s="106" t="e">
        <f>SUM(#REF!)</f>
        <v>#REF!</v>
      </c>
      <c r="J3" s="106" t="e">
        <f>SUM(#REF!)</f>
        <v>#REF!</v>
      </c>
      <c r="K3" s="106" t="e">
        <f>SUM(#REF!)</f>
        <v>#REF!</v>
      </c>
      <c r="L3" s="107">
        <f>SUM(L4:L5)</f>
        <v>0</v>
      </c>
      <c r="M3" s="108">
        <f>SUM(M10:M24)</f>
        <v>81.932999999999993</v>
      </c>
      <c r="N3" s="108">
        <f>SUM(N10:N24)</f>
        <v>197.80700000000002</v>
      </c>
      <c r="O3" s="108">
        <f t="shared" ref="O3:V3" si="0">SUM(O10:O23)</f>
        <v>36.768999999999998</v>
      </c>
      <c r="P3" s="108">
        <f t="shared" si="0"/>
        <v>9.1559999999999988</v>
      </c>
      <c r="Q3" s="108">
        <f t="shared" si="0"/>
        <v>257.49799999999999</v>
      </c>
      <c r="R3" s="108">
        <f t="shared" si="0"/>
        <v>300.46999999999997</v>
      </c>
      <c r="S3" s="108">
        <f t="shared" si="0"/>
        <v>7.8149999999999995</v>
      </c>
      <c r="T3" s="109">
        <f t="shared" si="0"/>
        <v>1284.9900000000002</v>
      </c>
      <c r="U3" s="109">
        <f t="shared" si="0"/>
        <v>10.053000000000001</v>
      </c>
      <c r="V3" s="171">
        <f t="shared" si="0"/>
        <v>11.653</v>
      </c>
    </row>
    <row r="4" spans="2:22" hidden="1" x14ac:dyDescent="0.2">
      <c r="B4" s="93"/>
      <c r="C4" s="110"/>
      <c r="D4" s="111"/>
      <c r="E4" s="111"/>
      <c r="F4" s="112"/>
      <c r="G4" s="113"/>
      <c r="H4" s="113"/>
      <c r="I4" s="114"/>
      <c r="J4" s="113"/>
      <c r="K4" s="115"/>
      <c r="L4" s="116"/>
      <c r="M4" s="92"/>
      <c r="N4" s="92"/>
      <c r="O4" s="92"/>
      <c r="P4" s="92"/>
      <c r="Q4" s="117"/>
      <c r="R4" s="117"/>
      <c r="S4" s="118"/>
      <c r="T4" s="118"/>
      <c r="U4" s="118"/>
      <c r="V4" s="119"/>
    </row>
    <row r="5" spans="2:22" hidden="1" x14ac:dyDescent="0.2">
      <c r="B5" s="93"/>
      <c r="C5" s="110"/>
      <c r="D5" s="111"/>
      <c r="E5" s="111"/>
      <c r="F5" s="112"/>
      <c r="G5" s="113"/>
      <c r="H5" s="113"/>
      <c r="I5" s="114"/>
      <c r="J5" s="113"/>
      <c r="K5" s="115"/>
      <c r="L5" s="116"/>
      <c r="M5" s="92"/>
      <c r="N5" s="92"/>
      <c r="O5" s="92"/>
      <c r="P5" s="92"/>
      <c r="Q5" s="117"/>
      <c r="R5" s="117"/>
      <c r="S5" s="120"/>
      <c r="T5" s="120"/>
      <c r="U5" s="120"/>
      <c r="V5" s="121"/>
    </row>
    <row r="6" spans="2:22" ht="13.5" hidden="1" customHeight="1" x14ac:dyDescent="0.2">
      <c r="B6" s="122"/>
      <c r="C6" s="110"/>
      <c r="D6" s="111"/>
      <c r="E6" s="111"/>
      <c r="F6" s="112"/>
      <c r="G6" s="113"/>
      <c r="H6" s="113"/>
      <c r="I6" s="114"/>
      <c r="J6" s="113"/>
      <c r="K6" s="115"/>
      <c r="L6" s="116"/>
      <c r="M6" s="92"/>
      <c r="N6" s="92"/>
      <c r="O6" s="92"/>
      <c r="P6" s="92"/>
      <c r="Q6" s="117"/>
      <c r="R6" s="117"/>
      <c r="S6" s="120"/>
      <c r="T6" s="120"/>
      <c r="U6" s="120"/>
      <c r="V6" s="121"/>
    </row>
    <row r="7" spans="2:22" hidden="1" x14ac:dyDescent="0.2">
      <c r="B7" s="123"/>
      <c r="C7" s="110"/>
      <c r="D7" s="111"/>
      <c r="E7" s="111"/>
      <c r="F7" s="112"/>
      <c r="G7" s="113"/>
      <c r="H7" s="113"/>
      <c r="I7" s="114"/>
      <c r="J7" s="113"/>
      <c r="K7" s="115"/>
      <c r="L7" s="116"/>
      <c r="M7" s="92"/>
      <c r="N7" s="92"/>
      <c r="O7" s="92"/>
      <c r="P7" s="117"/>
      <c r="Q7" s="117"/>
      <c r="R7" s="117"/>
      <c r="S7" s="120"/>
      <c r="T7" s="120"/>
      <c r="U7" s="120"/>
      <c r="V7" s="121"/>
    </row>
    <row r="8" spans="2:22" hidden="1" x14ac:dyDescent="0.2">
      <c r="B8" s="93"/>
      <c r="C8" s="110"/>
      <c r="D8" s="111"/>
      <c r="E8" s="111"/>
      <c r="F8" s="112"/>
      <c r="G8" s="113"/>
      <c r="H8" s="113"/>
      <c r="I8" s="114"/>
      <c r="J8" s="113"/>
      <c r="K8" s="115"/>
      <c r="L8" s="116"/>
      <c r="M8" s="92"/>
      <c r="N8" s="92"/>
      <c r="O8" s="92"/>
      <c r="P8" s="92"/>
      <c r="Q8" s="92"/>
      <c r="R8" s="117"/>
      <c r="S8" s="120"/>
      <c r="T8" s="120"/>
      <c r="U8" s="120"/>
      <c r="V8" s="121"/>
    </row>
    <row r="9" spans="2:22" hidden="1" x14ac:dyDescent="0.2">
      <c r="B9" s="93"/>
      <c r="C9" s="110"/>
      <c r="D9" s="111"/>
      <c r="E9" s="111"/>
      <c r="F9" s="112"/>
      <c r="G9" s="113"/>
      <c r="H9" s="113"/>
      <c r="I9" s="114"/>
      <c r="J9" s="113"/>
      <c r="K9" s="115"/>
      <c r="L9" s="116"/>
      <c r="M9" s="92"/>
      <c r="N9" s="124"/>
      <c r="O9" s="124"/>
      <c r="P9" s="124"/>
      <c r="Q9" s="124"/>
      <c r="R9" s="117"/>
      <c r="S9" s="120"/>
      <c r="T9" s="120"/>
      <c r="U9" s="120"/>
      <c r="V9" s="121"/>
    </row>
    <row r="10" spans="2:22" s="127" customFormat="1" ht="40.5" hidden="1" customHeight="1" x14ac:dyDescent="0.2">
      <c r="B10" s="123"/>
      <c r="C10" s="110">
        <v>45.6</v>
      </c>
      <c r="D10" s="111">
        <v>22.9</v>
      </c>
      <c r="E10" s="111">
        <v>30.2</v>
      </c>
      <c r="F10" s="112"/>
      <c r="G10" s="113"/>
      <c r="H10" s="113"/>
      <c r="I10" s="114"/>
      <c r="J10" s="113"/>
      <c r="K10" s="115"/>
      <c r="L10" s="116"/>
      <c r="M10" s="92">
        <v>45.6</v>
      </c>
      <c r="N10" s="124">
        <v>22.9</v>
      </c>
      <c r="O10" s="124">
        <v>30.2</v>
      </c>
      <c r="P10" s="124"/>
      <c r="Q10" s="124"/>
      <c r="R10" s="124"/>
      <c r="S10" s="124"/>
      <c r="T10" s="125"/>
      <c r="U10" s="184"/>
      <c r="V10" s="126"/>
    </row>
    <row r="11" spans="2:22" ht="17.25" hidden="1" customHeight="1" x14ac:dyDescent="0.2">
      <c r="B11" s="93"/>
      <c r="C11" s="110"/>
      <c r="D11" s="111"/>
      <c r="E11" s="111"/>
      <c r="F11" s="112"/>
      <c r="G11" s="113"/>
      <c r="H11" s="113"/>
      <c r="I11" s="114"/>
      <c r="J11" s="113"/>
      <c r="K11" s="115"/>
      <c r="L11" s="116"/>
      <c r="M11" s="92"/>
      <c r="N11" s="128"/>
      <c r="O11" s="128"/>
      <c r="P11" s="129"/>
      <c r="Q11" s="124"/>
      <c r="R11" s="124"/>
      <c r="S11" s="124"/>
      <c r="T11" s="125"/>
      <c r="U11" s="120"/>
      <c r="V11" s="121"/>
    </row>
    <row r="12" spans="2:22" ht="24" customHeight="1" x14ac:dyDescent="0.2">
      <c r="B12" s="93" t="s">
        <v>262</v>
      </c>
      <c r="C12" s="335"/>
      <c r="D12" s="335"/>
      <c r="E12" s="335"/>
      <c r="F12" s="362"/>
      <c r="G12" s="362"/>
      <c r="H12" s="363"/>
      <c r="I12" s="364"/>
      <c r="J12" s="364"/>
      <c r="K12" s="364"/>
      <c r="L12" s="364"/>
      <c r="M12" s="364"/>
      <c r="N12" s="364"/>
      <c r="O12" s="364"/>
      <c r="P12" s="364"/>
      <c r="Q12" s="92"/>
      <c r="R12" s="124"/>
      <c r="S12" s="124"/>
      <c r="T12" s="131"/>
      <c r="U12" s="117"/>
      <c r="V12" s="92">
        <v>1.0529999999999999</v>
      </c>
    </row>
    <row r="13" spans="2:22" ht="25.5" customHeight="1" x14ac:dyDescent="0.2">
      <c r="B13" s="93" t="s">
        <v>263</v>
      </c>
      <c r="C13" s="110"/>
      <c r="D13" s="111"/>
      <c r="E13" s="111"/>
      <c r="F13" s="112"/>
      <c r="G13" s="113"/>
      <c r="H13" s="113"/>
      <c r="I13" s="114"/>
      <c r="J13" s="113"/>
      <c r="K13" s="130"/>
      <c r="L13" s="335"/>
      <c r="M13" s="336"/>
      <c r="N13" s="363"/>
      <c r="O13" s="364"/>
      <c r="P13" s="364"/>
      <c r="Q13" s="124"/>
      <c r="R13" s="124"/>
      <c r="S13" s="124"/>
      <c r="T13" s="125"/>
      <c r="U13" s="92">
        <v>1.0529999999999999</v>
      </c>
      <c r="V13" s="92"/>
    </row>
    <row r="14" spans="2:22" ht="27.75" hidden="1" customHeight="1" x14ac:dyDescent="0.2">
      <c r="B14" s="93"/>
      <c r="C14" s="110"/>
      <c r="D14" s="111"/>
      <c r="E14" s="111"/>
      <c r="F14" s="112"/>
      <c r="G14" s="113"/>
      <c r="H14" s="113"/>
      <c r="I14" s="114"/>
      <c r="J14" s="113"/>
      <c r="K14" s="115"/>
      <c r="L14" s="116"/>
      <c r="M14" s="92"/>
      <c r="N14" s="128"/>
      <c r="O14" s="128"/>
      <c r="P14" s="129"/>
      <c r="Q14" s="124"/>
      <c r="R14" s="124"/>
      <c r="S14" s="124"/>
      <c r="T14" s="125"/>
      <c r="U14" s="117"/>
      <c r="V14" s="92"/>
    </row>
    <row r="15" spans="2:22" ht="40.5" hidden="1" customHeight="1" x14ac:dyDescent="0.2">
      <c r="B15" s="93"/>
      <c r="C15" s="110"/>
      <c r="D15" s="111"/>
      <c r="E15" s="111"/>
      <c r="F15" s="112"/>
      <c r="G15" s="113"/>
      <c r="H15" s="113"/>
      <c r="I15" s="114"/>
      <c r="J15" s="113"/>
      <c r="K15" s="115"/>
      <c r="L15" s="116"/>
      <c r="M15" s="92"/>
      <c r="N15" s="128"/>
      <c r="O15" s="128"/>
      <c r="P15" s="129"/>
      <c r="Q15" s="124"/>
      <c r="R15" s="124"/>
      <c r="S15" s="124"/>
      <c r="T15" s="125"/>
      <c r="U15" s="117"/>
      <c r="V15" s="92"/>
    </row>
    <row r="16" spans="2:22" ht="24" customHeight="1" x14ac:dyDescent="0.2">
      <c r="B16" s="93" t="s">
        <v>261</v>
      </c>
      <c r="C16" s="110"/>
      <c r="D16" s="111"/>
      <c r="E16" s="111"/>
      <c r="F16" s="112"/>
      <c r="G16" s="113"/>
      <c r="H16" s="113"/>
      <c r="I16" s="114"/>
      <c r="J16" s="113"/>
      <c r="K16" s="115"/>
      <c r="L16" s="116"/>
      <c r="M16" s="92"/>
      <c r="N16" s="128"/>
      <c r="O16" s="128"/>
      <c r="P16" s="129"/>
      <c r="Q16" s="124"/>
      <c r="R16" s="124"/>
      <c r="S16" s="124"/>
      <c r="T16" s="125">
        <v>1.75</v>
      </c>
      <c r="U16" s="117"/>
      <c r="V16" s="92"/>
    </row>
    <row r="17" spans="2:22" ht="24.75" customHeight="1" x14ac:dyDescent="0.2">
      <c r="B17" s="93" t="s">
        <v>169</v>
      </c>
      <c r="C17" s="110"/>
      <c r="D17" s="111"/>
      <c r="E17" s="111"/>
      <c r="F17" s="112"/>
      <c r="G17" s="113"/>
      <c r="H17" s="113"/>
      <c r="I17" s="114"/>
      <c r="J17" s="113"/>
      <c r="K17" s="115"/>
      <c r="L17" s="116"/>
      <c r="M17" s="92"/>
      <c r="N17" s="92"/>
      <c r="O17" s="92">
        <v>4.5</v>
      </c>
      <c r="P17" s="92">
        <v>4.7859999999999996</v>
      </c>
      <c r="Q17" s="364">
        <v>146.6</v>
      </c>
      <c r="R17" s="364">
        <v>293.7</v>
      </c>
      <c r="S17" s="364">
        <v>0.96499999999999997</v>
      </c>
      <c r="T17" s="364"/>
      <c r="U17" s="365"/>
      <c r="V17" s="92"/>
    </row>
    <row r="18" spans="2:22" ht="27" customHeight="1" x14ac:dyDescent="0.2">
      <c r="B18" s="93" t="s">
        <v>163</v>
      </c>
      <c r="C18" s="110"/>
      <c r="D18" s="111"/>
      <c r="E18" s="111"/>
      <c r="F18" s="112"/>
      <c r="G18" s="113"/>
      <c r="H18" s="113"/>
      <c r="I18" s="114"/>
      <c r="J18" s="113"/>
      <c r="K18" s="115"/>
      <c r="L18" s="116"/>
      <c r="M18" s="128"/>
      <c r="N18" s="132"/>
      <c r="O18" s="124"/>
      <c r="P18" s="125"/>
      <c r="Q18" s="125">
        <v>37.755000000000003</v>
      </c>
      <c r="R18" s="125"/>
      <c r="S18" s="125"/>
      <c r="T18" s="117">
        <v>722.5</v>
      </c>
      <c r="U18" s="117"/>
      <c r="V18" s="92"/>
    </row>
    <row r="19" spans="2:22" ht="26.25" customHeight="1" x14ac:dyDescent="0.2">
      <c r="B19" s="93" t="s">
        <v>170</v>
      </c>
      <c r="C19" s="110"/>
      <c r="D19" s="111"/>
      <c r="E19" s="111"/>
      <c r="F19" s="112"/>
      <c r="G19" s="113"/>
      <c r="H19" s="113"/>
      <c r="I19" s="114"/>
      <c r="J19" s="113"/>
      <c r="K19" s="115"/>
      <c r="L19" s="116"/>
      <c r="M19" s="366">
        <v>32.880000000000003</v>
      </c>
      <c r="N19" s="367">
        <v>172.86</v>
      </c>
      <c r="O19" s="124"/>
      <c r="P19" s="125"/>
      <c r="Q19" s="125">
        <v>66.873000000000005</v>
      </c>
      <c r="R19" s="125"/>
      <c r="S19" s="125"/>
      <c r="T19" s="117">
        <v>314.95999999999998</v>
      </c>
      <c r="U19" s="117"/>
      <c r="V19" s="92"/>
    </row>
    <row r="20" spans="2:22" ht="26.25" customHeight="1" x14ac:dyDescent="0.2">
      <c r="B20" s="93" t="s">
        <v>192</v>
      </c>
      <c r="C20" s="110"/>
      <c r="D20" s="111"/>
      <c r="E20" s="111"/>
      <c r="F20" s="112"/>
      <c r="G20" s="113"/>
      <c r="H20" s="113"/>
      <c r="I20" s="114"/>
      <c r="J20" s="113"/>
      <c r="K20" s="115"/>
      <c r="L20" s="116"/>
      <c r="M20" s="366"/>
      <c r="N20" s="367"/>
      <c r="O20" s="124"/>
      <c r="P20" s="125"/>
      <c r="Q20" s="125"/>
      <c r="R20" s="125"/>
      <c r="S20" s="125"/>
      <c r="T20" s="117">
        <v>22.5</v>
      </c>
      <c r="U20" s="117"/>
      <c r="V20" s="92"/>
    </row>
    <row r="21" spans="2:22" ht="27" customHeight="1" x14ac:dyDescent="0.2">
      <c r="B21" s="93" t="s">
        <v>193</v>
      </c>
      <c r="C21" s="110"/>
      <c r="D21" s="111"/>
      <c r="E21" s="111"/>
      <c r="F21" s="112"/>
      <c r="G21" s="113"/>
      <c r="H21" s="113"/>
      <c r="I21" s="114"/>
      <c r="J21" s="113"/>
      <c r="K21" s="115"/>
      <c r="L21" s="116"/>
      <c r="M21" s="366"/>
      <c r="N21" s="367"/>
      <c r="O21" s="124"/>
      <c r="P21" s="125"/>
      <c r="Q21" s="125"/>
      <c r="R21" s="125"/>
      <c r="S21" s="125"/>
      <c r="T21" s="117">
        <v>139.38</v>
      </c>
      <c r="U21" s="117">
        <v>3.9</v>
      </c>
      <c r="V21" s="92">
        <v>5.9</v>
      </c>
    </row>
    <row r="22" spans="2:22" ht="24.75" customHeight="1" x14ac:dyDescent="0.2">
      <c r="B22" s="93" t="s">
        <v>171</v>
      </c>
      <c r="C22" s="110"/>
      <c r="D22" s="111"/>
      <c r="E22" s="111"/>
      <c r="F22" s="112"/>
      <c r="G22" s="113"/>
      <c r="H22" s="113"/>
      <c r="I22" s="114"/>
      <c r="J22" s="113"/>
      <c r="K22" s="115"/>
      <c r="L22" s="116"/>
      <c r="M22" s="368">
        <v>1.2490000000000001</v>
      </c>
      <c r="N22" s="369">
        <v>1.3149999999999999</v>
      </c>
      <c r="O22" s="341">
        <v>1.306</v>
      </c>
      <c r="P22" s="341">
        <v>1.25</v>
      </c>
      <c r="Q22" s="364">
        <v>5.25</v>
      </c>
      <c r="R22" s="364">
        <v>5.45</v>
      </c>
      <c r="S22" s="364">
        <v>5.55</v>
      </c>
      <c r="T22" s="364">
        <v>78.900000000000006</v>
      </c>
      <c r="U22" s="364">
        <v>1.4</v>
      </c>
      <c r="V22" s="364">
        <v>1.3</v>
      </c>
    </row>
    <row r="23" spans="2:22" ht="24.75" thickBot="1" x14ac:dyDescent="0.25">
      <c r="B23" s="134" t="s">
        <v>172</v>
      </c>
      <c r="C23" s="342"/>
      <c r="D23" s="343"/>
      <c r="E23" s="343"/>
      <c r="F23" s="344"/>
      <c r="G23" s="345"/>
      <c r="H23" s="345"/>
      <c r="I23" s="135"/>
      <c r="J23" s="345"/>
      <c r="K23" s="346"/>
      <c r="L23" s="347"/>
      <c r="M23" s="370">
        <v>2.2040000000000002</v>
      </c>
      <c r="N23" s="341">
        <v>0.73199999999999998</v>
      </c>
      <c r="O23" s="341">
        <v>0.76300000000000001</v>
      </c>
      <c r="P23" s="341">
        <v>3.12</v>
      </c>
      <c r="Q23" s="364">
        <v>1.02</v>
      </c>
      <c r="R23" s="364">
        <v>1.32</v>
      </c>
      <c r="S23" s="364">
        <v>1.3</v>
      </c>
      <c r="T23" s="368">
        <v>5</v>
      </c>
      <c r="U23" s="364">
        <v>3.7</v>
      </c>
      <c r="V23" s="364">
        <v>3.4</v>
      </c>
    </row>
    <row r="24" spans="2:22" ht="12.75" hidden="1" thickBot="1" x14ac:dyDescent="0.25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90"/>
      <c r="S24" s="136"/>
      <c r="T24" s="133"/>
      <c r="U24" s="133"/>
      <c r="V24" s="137"/>
    </row>
    <row r="25" spans="2:22" ht="16.5" customHeight="1" thickBot="1" x14ac:dyDescent="0.25">
      <c r="B25" s="138" t="s">
        <v>162</v>
      </c>
      <c r="C25" s="139" t="s">
        <v>31</v>
      </c>
      <c r="D25" s="98">
        <f>SUM(D26:D40)</f>
        <v>0</v>
      </c>
      <c r="E25" s="98"/>
      <c r="F25" s="106">
        <f>SUM(F26:F40)</f>
        <v>0</v>
      </c>
      <c r="G25" s="106">
        <f>SUM(G26:G40)</f>
        <v>11.4</v>
      </c>
      <c r="H25" s="106">
        <f>SUM(H26:H40)</f>
        <v>32.799999999999997</v>
      </c>
      <c r="I25" s="106">
        <f>SUM(I26:I40)</f>
        <v>6</v>
      </c>
      <c r="J25" s="107">
        <f>SUM(J26:J40)</f>
        <v>32</v>
      </c>
      <c r="K25" s="108">
        <f>SUM(K27:K46)</f>
        <v>164</v>
      </c>
      <c r="L25" s="108" t="e">
        <f>L27+L28+#REF!+L32+L33+#REF!+#REF!+L38+L40+L43+L46+L49+L39</f>
        <v>#REF!</v>
      </c>
      <c r="M25" s="108">
        <f>SUM(M27:M59)</f>
        <v>21</v>
      </c>
      <c r="N25" s="108">
        <f>SUM(N27:N59)</f>
        <v>30</v>
      </c>
      <c r="O25" s="108">
        <f>SUM(O27:O58)</f>
        <v>14</v>
      </c>
      <c r="P25" s="108">
        <f>SUM(P27:P63)</f>
        <v>212</v>
      </c>
      <c r="Q25" s="108">
        <f>SUM(Q27:Q64)</f>
        <v>86</v>
      </c>
      <c r="R25" s="108">
        <f t="shared" ref="R25:V25" si="1">SUM(R27:R64)</f>
        <v>115</v>
      </c>
      <c r="S25" s="108">
        <f t="shared" si="1"/>
        <v>1567</v>
      </c>
      <c r="T25" s="108">
        <f t="shared" si="1"/>
        <v>1529</v>
      </c>
      <c r="U25" s="108">
        <f t="shared" si="1"/>
        <v>164</v>
      </c>
      <c r="V25" s="171">
        <f t="shared" si="1"/>
        <v>24</v>
      </c>
    </row>
    <row r="26" spans="2:22" hidden="1" x14ac:dyDescent="0.2">
      <c r="B26" s="140"/>
      <c r="C26" s="141"/>
      <c r="D26" s="142"/>
      <c r="E26" s="142"/>
      <c r="F26" s="143"/>
      <c r="G26" s="144">
        <v>11.4</v>
      </c>
      <c r="H26" s="144"/>
      <c r="I26" s="144">
        <v>6</v>
      </c>
      <c r="J26" s="145"/>
      <c r="K26" s="146"/>
      <c r="L26" s="147"/>
      <c r="M26" s="148"/>
      <c r="N26" s="119"/>
      <c r="P26" s="118"/>
      <c r="Q26" s="118"/>
      <c r="R26" s="129"/>
      <c r="S26" s="118"/>
      <c r="T26" s="118"/>
      <c r="U26" s="118"/>
      <c r="V26" s="119"/>
    </row>
    <row r="27" spans="2:22" ht="24" x14ac:dyDescent="0.2">
      <c r="B27" s="149" t="s">
        <v>173</v>
      </c>
      <c r="C27" s="150"/>
      <c r="D27" s="151"/>
      <c r="E27" s="151"/>
      <c r="F27" s="152"/>
      <c r="G27" s="135"/>
      <c r="H27" s="135"/>
      <c r="I27" s="135"/>
      <c r="J27" s="153"/>
      <c r="K27" s="115">
        <v>4</v>
      </c>
      <c r="L27" s="154">
        <v>2</v>
      </c>
      <c r="M27" s="155"/>
      <c r="N27" s="156"/>
      <c r="O27" s="157"/>
      <c r="P27" s="157"/>
      <c r="Q27" s="157"/>
      <c r="R27" s="157"/>
      <c r="S27" s="157">
        <v>1273</v>
      </c>
      <c r="T27" s="157">
        <v>1403</v>
      </c>
      <c r="U27" s="117"/>
      <c r="V27" s="92"/>
    </row>
    <row r="28" spans="2:22" hidden="1" x14ac:dyDescent="0.2">
      <c r="B28" s="149"/>
      <c r="C28" s="150"/>
      <c r="D28" s="151"/>
      <c r="E28" s="151"/>
      <c r="F28" s="152"/>
      <c r="G28" s="135"/>
      <c r="H28" s="135"/>
      <c r="I28" s="135"/>
      <c r="J28" s="153"/>
      <c r="K28" s="115"/>
      <c r="L28" s="154"/>
      <c r="M28" s="155"/>
      <c r="N28" s="156"/>
      <c r="O28" s="157"/>
      <c r="P28" s="157"/>
      <c r="Q28" s="117"/>
      <c r="R28" s="117"/>
      <c r="S28" s="117"/>
      <c r="T28" s="117"/>
      <c r="U28" s="117"/>
      <c r="V28" s="92"/>
    </row>
    <row r="29" spans="2:22" ht="24" x14ac:dyDescent="0.2">
      <c r="B29" s="149" t="s">
        <v>174</v>
      </c>
      <c r="C29" s="150"/>
      <c r="D29" s="151"/>
      <c r="E29" s="151"/>
      <c r="F29" s="152"/>
      <c r="G29" s="135"/>
      <c r="H29" s="135"/>
      <c r="I29" s="135"/>
      <c r="J29" s="153"/>
      <c r="K29" s="115"/>
      <c r="L29" s="154"/>
      <c r="M29" s="155"/>
      <c r="N29" s="157"/>
      <c r="O29" s="157"/>
      <c r="P29" s="157"/>
      <c r="Q29" s="157">
        <v>20</v>
      </c>
      <c r="R29" s="157">
        <v>16</v>
      </c>
      <c r="S29" s="157">
        <v>14</v>
      </c>
      <c r="T29" s="117"/>
      <c r="U29" s="117"/>
      <c r="V29" s="92"/>
    </row>
    <row r="30" spans="2:22" ht="24" x14ac:dyDescent="0.2">
      <c r="B30" s="149" t="s">
        <v>253</v>
      </c>
      <c r="C30" s="150"/>
      <c r="D30" s="151"/>
      <c r="E30" s="151"/>
      <c r="F30" s="152"/>
      <c r="G30" s="135"/>
      <c r="H30" s="135"/>
      <c r="I30" s="135"/>
      <c r="J30" s="153"/>
      <c r="K30" s="115"/>
      <c r="L30" s="154"/>
      <c r="M30" s="155"/>
      <c r="N30" s="157"/>
      <c r="O30" s="157"/>
      <c r="P30" s="157"/>
      <c r="Q30" s="157"/>
      <c r="R30" s="157"/>
      <c r="S30" s="157">
        <v>18</v>
      </c>
      <c r="T30" s="117"/>
      <c r="U30" s="117"/>
      <c r="V30" s="92"/>
    </row>
    <row r="31" spans="2:22" x14ac:dyDescent="0.2">
      <c r="B31" s="149" t="s">
        <v>254</v>
      </c>
      <c r="C31" s="150"/>
      <c r="D31" s="151"/>
      <c r="E31" s="151"/>
      <c r="F31" s="152"/>
      <c r="G31" s="135"/>
      <c r="H31" s="135"/>
      <c r="I31" s="135"/>
      <c r="J31" s="153"/>
      <c r="K31" s="115"/>
      <c r="L31" s="154"/>
      <c r="M31" s="155"/>
      <c r="N31" s="157"/>
      <c r="O31" s="157"/>
      <c r="P31" s="157"/>
      <c r="Q31" s="157"/>
      <c r="R31" s="157">
        <v>11</v>
      </c>
      <c r="S31" s="157"/>
      <c r="T31" s="157"/>
      <c r="U31" s="157"/>
      <c r="V31" s="92"/>
    </row>
    <row r="32" spans="2:22" hidden="1" x14ac:dyDescent="0.2">
      <c r="B32" s="149" t="s">
        <v>175</v>
      </c>
      <c r="C32" s="126"/>
      <c r="D32" s="126"/>
      <c r="E32" s="126"/>
      <c r="F32" s="114"/>
      <c r="G32" s="114"/>
      <c r="H32" s="114"/>
      <c r="I32" s="114"/>
      <c r="J32" s="130"/>
      <c r="K32" s="159"/>
      <c r="L32" s="159">
        <v>115</v>
      </c>
      <c r="M32" s="157"/>
      <c r="N32" s="157"/>
      <c r="O32" s="157"/>
      <c r="P32" s="157"/>
      <c r="Q32" s="157"/>
      <c r="R32" s="157"/>
      <c r="S32" s="157"/>
      <c r="T32" s="117"/>
      <c r="U32" s="117"/>
      <c r="V32" s="92"/>
    </row>
    <row r="33" spans="1:22" hidden="1" x14ac:dyDescent="0.2">
      <c r="B33" s="149"/>
      <c r="C33" s="160"/>
      <c r="D33" s="126"/>
      <c r="E33" s="126"/>
      <c r="F33" s="114"/>
      <c r="G33" s="114"/>
      <c r="H33" s="114"/>
      <c r="I33" s="114"/>
      <c r="J33" s="161"/>
      <c r="K33" s="159"/>
      <c r="L33" s="158">
        <v>2</v>
      </c>
      <c r="M33" s="157"/>
      <c r="N33" s="157"/>
      <c r="O33" s="157"/>
      <c r="P33" s="157"/>
      <c r="Q33" s="157"/>
      <c r="R33" s="157"/>
      <c r="S33" s="157"/>
      <c r="T33" s="117"/>
      <c r="U33" s="117"/>
      <c r="V33" s="92"/>
    </row>
    <row r="34" spans="1:22" ht="24" hidden="1" x14ac:dyDescent="0.2">
      <c r="B34" s="149" t="s">
        <v>176</v>
      </c>
      <c r="C34" s="160"/>
      <c r="D34" s="126"/>
      <c r="E34" s="126"/>
      <c r="F34" s="114"/>
      <c r="G34" s="114"/>
      <c r="H34" s="114"/>
      <c r="I34" s="114"/>
      <c r="J34" s="161"/>
      <c r="K34" s="159"/>
      <c r="L34" s="158">
        <v>2</v>
      </c>
      <c r="M34" s="157"/>
      <c r="N34" s="157"/>
      <c r="O34" s="157"/>
      <c r="P34" s="157"/>
      <c r="Q34" s="157"/>
      <c r="R34" s="157"/>
      <c r="S34" s="157"/>
      <c r="T34" s="117"/>
      <c r="U34" s="117"/>
      <c r="V34" s="92"/>
    </row>
    <row r="35" spans="1:22" ht="24" hidden="1" x14ac:dyDescent="0.2">
      <c r="B35" s="149" t="s">
        <v>177</v>
      </c>
      <c r="C35" s="151"/>
      <c r="D35" s="151"/>
      <c r="E35" s="151"/>
      <c r="F35" s="135"/>
      <c r="G35" s="135"/>
      <c r="H35" s="135">
        <v>32.799999999999997</v>
      </c>
      <c r="I35" s="135"/>
      <c r="J35" s="153">
        <v>32</v>
      </c>
      <c r="K35" s="159"/>
      <c r="L35" s="158"/>
      <c r="M35" s="157"/>
      <c r="N35" s="157"/>
      <c r="O35" s="157"/>
      <c r="P35" s="157"/>
      <c r="Q35" s="157"/>
      <c r="R35" s="157"/>
      <c r="S35" s="157"/>
      <c r="T35" s="117"/>
      <c r="U35" s="117"/>
      <c r="V35" s="92"/>
    </row>
    <row r="36" spans="1:22" x14ac:dyDescent="0.2">
      <c r="B36" s="149" t="s">
        <v>255</v>
      </c>
      <c r="C36" s="151"/>
      <c r="D36" s="151"/>
      <c r="E36" s="151"/>
      <c r="F36" s="135"/>
      <c r="G36" s="135"/>
      <c r="H36" s="135"/>
      <c r="I36" s="135"/>
      <c r="J36" s="153"/>
      <c r="K36" s="159"/>
      <c r="L36" s="158"/>
      <c r="M36" s="157"/>
      <c r="N36" s="157"/>
      <c r="O36" s="157">
        <v>10</v>
      </c>
      <c r="P36" s="157">
        <v>10</v>
      </c>
      <c r="Q36" s="157"/>
      <c r="R36" s="157"/>
      <c r="S36" s="157">
        <v>16</v>
      </c>
      <c r="T36" s="117"/>
      <c r="U36" s="117"/>
      <c r="V36" s="92"/>
    </row>
    <row r="37" spans="1:22" x14ac:dyDescent="0.2">
      <c r="B37" s="149" t="s">
        <v>256</v>
      </c>
      <c r="C37" s="151"/>
      <c r="D37" s="151"/>
      <c r="E37" s="151"/>
      <c r="F37" s="135"/>
      <c r="G37" s="135"/>
      <c r="H37" s="135"/>
      <c r="I37" s="135"/>
      <c r="J37" s="153"/>
      <c r="K37" s="159"/>
      <c r="L37" s="158"/>
      <c r="M37" s="157"/>
      <c r="N37" s="157"/>
      <c r="O37" s="157"/>
      <c r="P37" s="157"/>
      <c r="Q37" s="157"/>
      <c r="R37" s="157"/>
      <c r="S37" s="157"/>
      <c r="T37" s="157">
        <v>66</v>
      </c>
      <c r="U37" s="117"/>
      <c r="V37" s="92"/>
    </row>
    <row r="38" spans="1:22" ht="14.25" customHeight="1" x14ac:dyDescent="0.2">
      <c r="B38" s="149" t="s">
        <v>178</v>
      </c>
      <c r="C38" s="151"/>
      <c r="D38" s="151"/>
      <c r="E38" s="151"/>
      <c r="F38" s="135"/>
      <c r="G38" s="135"/>
      <c r="H38" s="135"/>
      <c r="I38" s="135"/>
      <c r="J38" s="153"/>
      <c r="K38" s="159"/>
      <c r="L38" s="158"/>
      <c r="M38" s="157">
        <v>2</v>
      </c>
      <c r="N38" s="157">
        <v>7</v>
      </c>
      <c r="O38" s="157">
        <v>4</v>
      </c>
      <c r="P38" s="157">
        <v>4</v>
      </c>
      <c r="Q38" s="157"/>
      <c r="R38" s="157">
        <v>8</v>
      </c>
      <c r="S38" s="157">
        <v>7</v>
      </c>
      <c r="T38" s="117"/>
      <c r="U38" s="117"/>
      <c r="V38" s="92"/>
    </row>
    <row r="39" spans="1:22" hidden="1" x14ac:dyDescent="0.2">
      <c r="B39" s="149"/>
      <c r="C39" s="151"/>
      <c r="D39" s="151"/>
      <c r="E39" s="151"/>
      <c r="F39" s="135"/>
      <c r="G39" s="135"/>
      <c r="H39" s="135"/>
      <c r="I39" s="135"/>
      <c r="J39" s="153"/>
      <c r="K39" s="159">
        <v>63</v>
      </c>
      <c r="L39" s="158">
        <v>54</v>
      </c>
      <c r="M39" s="157"/>
      <c r="N39" s="157"/>
      <c r="O39" s="157"/>
      <c r="P39" s="157"/>
      <c r="Q39" s="157"/>
      <c r="R39" s="157"/>
      <c r="S39" s="157"/>
      <c r="T39" s="117"/>
      <c r="U39" s="117"/>
      <c r="V39" s="92"/>
    </row>
    <row r="40" spans="1:22" ht="24" x14ac:dyDescent="0.2">
      <c r="B40" s="149" t="s">
        <v>179</v>
      </c>
      <c r="C40" s="151"/>
      <c r="D40" s="151"/>
      <c r="E40" s="151"/>
      <c r="F40" s="135"/>
      <c r="G40" s="135"/>
      <c r="H40" s="135"/>
      <c r="I40" s="135"/>
      <c r="J40" s="153"/>
      <c r="K40" s="162"/>
      <c r="L40" s="163"/>
      <c r="M40" s="131">
        <v>15</v>
      </c>
      <c r="N40" s="157"/>
      <c r="O40" s="157"/>
      <c r="P40" s="157">
        <v>27</v>
      </c>
      <c r="Q40" s="157">
        <v>17</v>
      </c>
      <c r="R40" s="157"/>
      <c r="S40" s="157"/>
      <c r="T40" s="117"/>
      <c r="U40" s="117"/>
      <c r="V40" s="92"/>
    </row>
    <row r="41" spans="1:22" ht="36" hidden="1" x14ac:dyDescent="0.2">
      <c r="B41" s="149" t="s">
        <v>180</v>
      </c>
      <c r="C41" s="151"/>
      <c r="D41" s="151"/>
      <c r="E41" s="151"/>
      <c r="F41" s="135"/>
      <c r="G41" s="135"/>
      <c r="H41" s="135"/>
      <c r="I41" s="135"/>
      <c r="J41" s="153"/>
      <c r="K41" s="162"/>
      <c r="L41" s="163"/>
      <c r="M41" s="131"/>
      <c r="N41" s="157"/>
      <c r="O41" s="157"/>
      <c r="P41" s="157"/>
      <c r="Q41" s="157"/>
      <c r="R41" s="157"/>
      <c r="S41" s="157"/>
      <c r="T41" s="117"/>
      <c r="U41" s="117"/>
      <c r="V41" s="92"/>
    </row>
    <row r="42" spans="1:22" ht="15.75" customHeight="1" x14ac:dyDescent="0.2">
      <c r="B42" s="149" t="s">
        <v>257</v>
      </c>
      <c r="C42" s="151"/>
      <c r="D42" s="151"/>
      <c r="E42" s="151"/>
      <c r="F42" s="135"/>
      <c r="G42" s="135"/>
      <c r="H42" s="135"/>
      <c r="I42" s="135"/>
      <c r="J42" s="153"/>
      <c r="K42" s="162"/>
      <c r="L42" s="163"/>
      <c r="M42" s="131"/>
      <c r="N42" s="157"/>
      <c r="O42" s="157"/>
      <c r="P42" s="157">
        <v>81</v>
      </c>
      <c r="Q42" s="157"/>
      <c r="R42" s="157"/>
      <c r="S42" s="157"/>
      <c r="T42" s="117"/>
      <c r="U42" s="157">
        <v>44</v>
      </c>
      <c r="V42" s="92"/>
    </row>
    <row r="43" spans="1:22" ht="24.75" hidden="1" customHeight="1" x14ac:dyDescent="0.2">
      <c r="B43" s="149"/>
      <c r="C43" s="151"/>
      <c r="D43" s="151"/>
      <c r="E43" s="151"/>
      <c r="F43" s="135"/>
      <c r="G43" s="135"/>
      <c r="H43" s="135"/>
      <c r="I43" s="135">
        <v>0.3</v>
      </c>
      <c r="J43" s="153"/>
      <c r="K43" s="162">
        <v>86</v>
      </c>
      <c r="L43" s="163">
        <v>42</v>
      </c>
      <c r="M43" s="131"/>
      <c r="N43" s="157"/>
      <c r="O43" s="157"/>
      <c r="P43" s="157"/>
      <c r="Q43" s="157"/>
      <c r="R43" s="157"/>
      <c r="S43" s="157"/>
      <c r="T43" s="117"/>
      <c r="U43" s="117"/>
      <c r="V43" s="92"/>
    </row>
    <row r="44" spans="1:22" hidden="1" x14ac:dyDescent="0.2">
      <c r="B44" s="149"/>
      <c r="C44" s="126"/>
      <c r="D44" s="126"/>
      <c r="E44" s="126"/>
      <c r="F44" s="114"/>
      <c r="G44" s="114"/>
      <c r="H44" s="114"/>
      <c r="I44" s="114"/>
      <c r="J44" s="130"/>
      <c r="K44" s="159">
        <v>11</v>
      </c>
      <c r="L44" s="159"/>
      <c r="M44" s="156"/>
      <c r="N44" s="157"/>
      <c r="O44" s="157"/>
      <c r="P44" s="157"/>
      <c r="Q44" s="157"/>
      <c r="R44" s="157"/>
      <c r="S44" s="157"/>
      <c r="T44" s="117"/>
      <c r="U44" s="117"/>
      <c r="V44" s="92"/>
    </row>
    <row r="45" spans="1:22" hidden="1" x14ac:dyDescent="0.2">
      <c r="B45" s="149" t="s">
        <v>181</v>
      </c>
      <c r="C45" s="126"/>
      <c r="D45" s="126"/>
      <c r="E45" s="126"/>
      <c r="F45" s="114"/>
      <c r="G45" s="114"/>
      <c r="H45" s="114"/>
      <c r="I45" s="114"/>
      <c r="J45" s="130"/>
      <c r="K45" s="159"/>
      <c r="L45" s="159"/>
      <c r="M45" s="156"/>
      <c r="N45" s="157"/>
      <c r="O45" s="157"/>
      <c r="P45" s="157"/>
      <c r="Q45" s="157"/>
      <c r="R45" s="157"/>
      <c r="S45" s="157"/>
      <c r="T45" s="117"/>
      <c r="U45" s="117"/>
      <c r="V45" s="92"/>
    </row>
    <row r="46" spans="1:22" ht="25.5" hidden="1" customHeight="1" x14ac:dyDescent="0.2">
      <c r="B46" s="149"/>
      <c r="C46" s="151"/>
      <c r="D46" s="151"/>
      <c r="E46" s="151"/>
      <c r="F46" s="135"/>
      <c r="G46" s="135"/>
      <c r="H46" s="135"/>
      <c r="I46" s="135"/>
      <c r="J46" s="153"/>
      <c r="K46" s="162"/>
      <c r="L46" s="163"/>
      <c r="M46" s="131"/>
      <c r="N46" s="157"/>
      <c r="O46" s="157"/>
      <c r="P46" s="157"/>
      <c r="Q46" s="157"/>
      <c r="R46" s="157"/>
      <c r="S46" s="157"/>
      <c r="T46" s="117"/>
      <c r="U46" s="117"/>
      <c r="V46" s="92"/>
    </row>
    <row r="47" spans="1:22" ht="12.75" hidden="1" x14ac:dyDescent="0.2">
      <c r="A47" s="88" t="s">
        <v>182</v>
      </c>
      <c r="B47" s="149"/>
      <c r="C47" s="126"/>
      <c r="D47" s="126"/>
      <c r="E47" s="126"/>
      <c r="F47" s="114"/>
      <c r="G47" s="114"/>
      <c r="H47" s="114"/>
      <c r="I47" s="114"/>
      <c r="J47" s="130"/>
      <c r="K47" s="159"/>
      <c r="L47" s="159"/>
      <c r="M47" s="156"/>
      <c r="N47" s="157"/>
      <c r="O47" s="157"/>
      <c r="P47" s="157"/>
      <c r="Q47" s="157"/>
      <c r="R47" s="157"/>
      <c r="S47" s="157"/>
      <c r="T47" s="117"/>
      <c r="U47" s="117"/>
      <c r="V47" s="92"/>
    </row>
    <row r="48" spans="1:22" hidden="1" x14ac:dyDescent="0.2">
      <c r="B48" s="149" t="s">
        <v>183</v>
      </c>
      <c r="C48" s="126"/>
      <c r="D48" s="126"/>
      <c r="E48" s="126"/>
      <c r="F48" s="114"/>
      <c r="G48" s="114"/>
      <c r="H48" s="114"/>
      <c r="I48" s="114"/>
      <c r="J48" s="130"/>
      <c r="K48" s="159"/>
      <c r="L48" s="159">
        <v>4</v>
      </c>
      <c r="M48" s="156"/>
      <c r="N48" s="157"/>
      <c r="O48" s="157"/>
      <c r="P48" s="157"/>
      <c r="Q48" s="157"/>
      <c r="R48" s="157"/>
      <c r="S48" s="157"/>
      <c r="T48" s="117"/>
      <c r="U48" s="117"/>
      <c r="V48" s="92"/>
    </row>
    <row r="49" spans="2:22" hidden="1" x14ac:dyDescent="0.2">
      <c r="B49" s="149"/>
      <c r="C49" s="151"/>
      <c r="D49" s="151"/>
      <c r="E49" s="151"/>
      <c r="F49" s="135"/>
      <c r="G49" s="135"/>
      <c r="H49" s="135"/>
      <c r="I49" s="135"/>
      <c r="J49" s="164"/>
      <c r="K49" s="162"/>
      <c r="L49" s="162"/>
      <c r="M49" s="162"/>
      <c r="N49" s="157"/>
      <c r="O49" s="157"/>
      <c r="P49" s="157"/>
      <c r="Q49" s="157"/>
      <c r="R49" s="157"/>
      <c r="S49" s="157"/>
      <c r="T49" s="117"/>
      <c r="U49" s="117"/>
      <c r="V49" s="92"/>
    </row>
    <row r="50" spans="2:22" ht="24" x14ac:dyDescent="0.2">
      <c r="B50" s="149" t="s">
        <v>258</v>
      </c>
      <c r="C50" s="151"/>
      <c r="D50" s="151"/>
      <c r="E50" s="151"/>
      <c r="F50" s="135"/>
      <c r="G50" s="135"/>
      <c r="H50" s="135"/>
      <c r="I50" s="135"/>
      <c r="J50" s="164"/>
      <c r="K50" s="162"/>
      <c r="L50" s="162"/>
      <c r="M50" s="162"/>
      <c r="N50" s="157"/>
      <c r="O50" s="157"/>
      <c r="P50" s="157"/>
      <c r="Q50" s="157"/>
      <c r="R50" s="157"/>
      <c r="S50" s="157"/>
      <c r="T50" s="117"/>
      <c r="U50" s="117"/>
      <c r="V50" s="156">
        <v>24</v>
      </c>
    </row>
    <row r="51" spans="2:22" x14ac:dyDescent="0.2">
      <c r="B51" s="149" t="s">
        <v>259</v>
      </c>
      <c r="C51" s="151"/>
      <c r="D51" s="151"/>
      <c r="E51" s="151"/>
      <c r="F51" s="135"/>
      <c r="G51" s="135"/>
      <c r="H51" s="135"/>
      <c r="I51" s="135"/>
      <c r="J51" s="164"/>
      <c r="K51" s="162"/>
      <c r="L51" s="162"/>
      <c r="M51" s="162"/>
      <c r="N51" s="157"/>
      <c r="O51" s="157"/>
      <c r="P51" s="157"/>
      <c r="Q51" s="157"/>
      <c r="R51" s="157"/>
      <c r="S51" s="157">
        <v>34</v>
      </c>
      <c r="T51" s="117"/>
      <c r="U51" s="117"/>
      <c r="V51" s="156"/>
    </row>
    <row r="52" spans="2:22" x14ac:dyDescent="0.2">
      <c r="B52" s="149" t="s">
        <v>260</v>
      </c>
      <c r="C52" s="151"/>
      <c r="D52" s="151"/>
      <c r="E52" s="151"/>
      <c r="F52" s="135"/>
      <c r="G52" s="135"/>
      <c r="H52" s="135"/>
      <c r="I52" s="135"/>
      <c r="J52" s="164"/>
      <c r="K52" s="162"/>
      <c r="L52" s="162"/>
      <c r="M52" s="162"/>
      <c r="N52" s="157"/>
      <c r="O52" s="157"/>
      <c r="P52" s="157"/>
      <c r="Q52" s="157"/>
      <c r="R52" s="157"/>
      <c r="S52" s="157">
        <v>3</v>
      </c>
      <c r="T52" s="117"/>
      <c r="U52" s="117"/>
      <c r="V52" s="156"/>
    </row>
    <row r="53" spans="2:22" ht="16.5" customHeight="1" x14ac:dyDescent="0.2">
      <c r="B53" s="149" t="s">
        <v>251</v>
      </c>
      <c r="C53" s="126"/>
      <c r="D53" s="126"/>
      <c r="E53" s="126"/>
      <c r="F53" s="114"/>
      <c r="G53" s="114"/>
      <c r="H53" s="114"/>
      <c r="I53" s="114"/>
      <c r="J53" s="130"/>
      <c r="K53" s="159"/>
      <c r="L53" s="159"/>
      <c r="M53" s="156"/>
      <c r="N53" s="157"/>
      <c r="O53" s="157"/>
      <c r="P53" s="157"/>
      <c r="Q53" s="157"/>
      <c r="R53" s="157">
        <v>56</v>
      </c>
      <c r="S53" s="157">
        <v>47</v>
      </c>
      <c r="T53" s="117"/>
      <c r="U53" s="117"/>
      <c r="V53" s="92"/>
    </row>
    <row r="54" spans="2:22" ht="15.75" customHeight="1" x14ac:dyDescent="0.2">
      <c r="B54" s="149" t="s">
        <v>184</v>
      </c>
      <c r="C54" s="151"/>
      <c r="D54" s="151"/>
      <c r="E54" s="151"/>
      <c r="F54" s="135"/>
      <c r="G54" s="135"/>
      <c r="H54" s="135"/>
      <c r="I54" s="135"/>
      <c r="J54" s="164"/>
      <c r="K54" s="162"/>
      <c r="L54" s="162"/>
      <c r="M54" s="165"/>
      <c r="N54" s="157"/>
      <c r="O54" s="157"/>
      <c r="P54" s="157"/>
      <c r="Q54" s="157">
        <v>32</v>
      </c>
      <c r="R54" s="157"/>
      <c r="S54" s="157"/>
      <c r="T54" s="117"/>
      <c r="U54" s="117"/>
      <c r="V54" s="92"/>
    </row>
    <row r="55" spans="2:22" ht="18.75" customHeight="1" x14ac:dyDescent="0.2">
      <c r="B55" s="149" t="s">
        <v>185</v>
      </c>
      <c r="C55" s="151"/>
      <c r="D55" s="151"/>
      <c r="E55" s="151"/>
      <c r="F55" s="135"/>
      <c r="G55" s="135"/>
      <c r="H55" s="135"/>
      <c r="I55" s="135"/>
      <c r="J55" s="164"/>
      <c r="K55" s="162"/>
      <c r="L55" s="162"/>
      <c r="M55" s="165"/>
      <c r="N55" s="157"/>
      <c r="O55" s="157"/>
      <c r="P55" s="157"/>
      <c r="Q55" s="157"/>
      <c r="R55" s="157">
        <v>20</v>
      </c>
      <c r="S55" s="157">
        <v>85</v>
      </c>
      <c r="T55" s="117"/>
      <c r="U55" s="117"/>
      <c r="V55" s="92"/>
    </row>
    <row r="56" spans="2:22" x14ac:dyDescent="0.2">
      <c r="B56" s="149" t="s">
        <v>186</v>
      </c>
      <c r="C56" s="151"/>
      <c r="D56" s="151"/>
      <c r="E56" s="151"/>
      <c r="F56" s="135"/>
      <c r="G56" s="135"/>
      <c r="H56" s="135"/>
      <c r="I56" s="135"/>
      <c r="J56" s="164"/>
      <c r="K56" s="162"/>
      <c r="L56" s="162"/>
      <c r="M56" s="165"/>
      <c r="N56" s="157"/>
      <c r="O56" s="157"/>
      <c r="P56" s="157"/>
      <c r="Q56" s="157">
        <v>13</v>
      </c>
      <c r="R56" s="157"/>
      <c r="S56" s="157"/>
      <c r="T56" s="117"/>
      <c r="U56" s="117"/>
      <c r="V56" s="92"/>
    </row>
    <row r="57" spans="2:22" ht="26.25" customHeight="1" x14ac:dyDescent="0.2">
      <c r="B57" s="149" t="s">
        <v>187</v>
      </c>
      <c r="C57" s="151"/>
      <c r="D57" s="151"/>
      <c r="E57" s="151"/>
      <c r="F57" s="135"/>
      <c r="G57" s="135"/>
      <c r="H57" s="135"/>
      <c r="I57" s="135"/>
      <c r="J57" s="164"/>
      <c r="K57" s="162"/>
      <c r="L57" s="162"/>
      <c r="M57" s="165"/>
      <c r="N57" s="157"/>
      <c r="O57" s="157"/>
      <c r="P57" s="157">
        <v>90</v>
      </c>
      <c r="Q57" s="157"/>
      <c r="R57" s="157"/>
      <c r="S57" s="157">
        <v>70</v>
      </c>
      <c r="T57" s="117"/>
      <c r="U57" s="117"/>
      <c r="V57" s="92"/>
    </row>
    <row r="58" spans="2:22" ht="18" customHeight="1" x14ac:dyDescent="0.2">
      <c r="B58" s="149" t="s">
        <v>188</v>
      </c>
      <c r="C58" s="151"/>
      <c r="D58" s="151"/>
      <c r="E58" s="151"/>
      <c r="F58" s="135"/>
      <c r="G58" s="135"/>
      <c r="H58" s="135"/>
      <c r="I58" s="135"/>
      <c r="J58" s="164"/>
      <c r="K58" s="162"/>
      <c r="L58" s="162"/>
      <c r="M58" s="165"/>
      <c r="N58" s="157">
        <v>23</v>
      </c>
      <c r="O58" s="157"/>
      <c r="P58" s="157"/>
      <c r="Q58" s="157">
        <v>4</v>
      </c>
      <c r="R58" s="157"/>
      <c r="S58" s="157"/>
      <c r="T58" s="117"/>
      <c r="U58" s="117"/>
      <c r="V58" s="92"/>
    </row>
    <row r="59" spans="2:22" hidden="1" x14ac:dyDescent="0.2">
      <c r="B59" s="166"/>
      <c r="C59" s="151"/>
      <c r="D59" s="151"/>
      <c r="E59" s="151"/>
      <c r="F59" s="135"/>
      <c r="G59" s="135"/>
      <c r="H59" s="135"/>
      <c r="I59" s="135"/>
      <c r="J59" s="164"/>
      <c r="K59" s="162"/>
      <c r="L59" s="162">
        <v>4</v>
      </c>
      <c r="M59" s="165">
        <v>4</v>
      </c>
      <c r="N59" s="165"/>
      <c r="O59" s="131"/>
      <c r="P59" s="131"/>
      <c r="Q59" s="125"/>
      <c r="R59" s="125"/>
      <c r="S59" s="125"/>
      <c r="T59" s="117"/>
      <c r="U59" s="117"/>
      <c r="V59" s="92"/>
    </row>
    <row r="60" spans="2:22" ht="16.5" hidden="1" customHeight="1" x14ac:dyDescent="0.2">
      <c r="B60" s="167" t="s">
        <v>189</v>
      </c>
      <c r="C60" s="168" t="s">
        <v>31</v>
      </c>
      <c r="D60" s="169"/>
      <c r="E60" s="138"/>
      <c r="F60" s="170"/>
      <c r="G60" s="108">
        <f t="shared" ref="G60:S60" si="2">SUM(G61:G61)</f>
        <v>0</v>
      </c>
      <c r="H60" s="108">
        <f t="shared" si="2"/>
        <v>0</v>
      </c>
      <c r="I60" s="108">
        <f t="shared" si="2"/>
        <v>0</v>
      </c>
      <c r="J60" s="108">
        <f t="shared" si="2"/>
        <v>0</v>
      </c>
      <c r="K60" s="108">
        <f t="shared" si="2"/>
        <v>0</v>
      </c>
      <c r="L60" s="108">
        <f t="shared" si="2"/>
        <v>0</v>
      </c>
      <c r="M60" s="109">
        <f t="shared" si="2"/>
        <v>0</v>
      </c>
      <c r="N60" s="171">
        <f t="shared" si="2"/>
        <v>0</v>
      </c>
      <c r="O60" s="109">
        <f t="shared" si="2"/>
        <v>0</v>
      </c>
      <c r="P60" s="109">
        <f t="shared" si="2"/>
        <v>0</v>
      </c>
      <c r="Q60" s="333">
        <f t="shared" si="2"/>
        <v>0</v>
      </c>
      <c r="R60" s="333">
        <f t="shared" si="2"/>
        <v>0</v>
      </c>
      <c r="S60" s="333">
        <f t="shared" si="2"/>
        <v>0</v>
      </c>
      <c r="T60" s="117"/>
      <c r="U60" s="117"/>
      <c r="V60" s="92"/>
    </row>
    <row r="61" spans="2:22" ht="28.5" hidden="1" customHeight="1" x14ac:dyDescent="0.2">
      <c r="B61" s="166"/>
      <c r="C61" s="142"/>
      <c r="D61" s="142"/>
      <c r="E61" s="142"/>
      <c r="F61" s="144"/>
      <c r="G61" s="144"/>
      <c r="H61" s="144"/>
      <c r="I61" s="144"/>
      <c r="J61" s="172"/>
      <c r="K61" s="173"/>
      <c r="L61" s="174"/>
      <c r="M61" s="132"/>
      <c r="N61" s="175"/>
      <c r="O61" s="131"/>
      <c r="P61" s="131"/>
      <c r="Q61" s="131"/>
      <c r="R61" s="131"/>
      <c r="S61" s="176"/>
      <c r="T61" s="125"/>
      <c r="U61" s="125"/>
      <c r="V61" s="92"/>
    </row>
    <row r="62" spans="2:22" ht="15.75" customHeight="1" x14ac:dyDescent="0.2">
      <c r="B62" s="149" t="s">
        <v>190</v>
      </c>
      <c r="C62" s="142"/>
      <c r="D62" s="142"/>
      <c r="E62" s="142"/>
      <c r="F62" s="144"/>
      <c r="G62" s="144"/>
      <c r="H62" s="144"/>
      <c r="I62" s="144"/>
      <c r="J62" s="172"/>
      <c r="K62" s="173"/>
      <c r="L62" s="174"/>
      <c r="M62" s="132"/>
      <c r="N62" s="175"/>
      <c r="O62" s="131"/>
      <c r="P62" s="131"/>
      <c r="Q62" s="131"/>
      <c r="R62" s="131">
        <v>4</v>
      </c>
      <c r="S62" s="176"/>
      <c r="T62" s="125"/>
      <c r="U62" s="125"/>
      <c r="V62" s="92"/>
    </row>
    <row r="63" spans="2:22" ht="28.5" customHeight="1" x14ac:dyDescent="0.2">
      <c r="B63" s="149" t="s">
        <v>191</v>
      </c>
      <c r="C63" s="126"/>
      <c r="D63" s="126"/>
      <c r="E63" s="126"/>
      <c r="F63" s="114"/>
      <c r="G63" s="114"/>
      <c r="H63" s="114"/>
      <c r="I63" s="114"/>
      <c r="J63" s="130"/>
      <c r="K63" s="115"/>
      <c r="L63" s="159"/>
      <c r="M63" s="92"/>
      <c r="N63" s="121"/>
      <c r="O63" s="156"/>
      <c r="P63" s="156"/>
      <c r="Q63" s="156"/>
      <c r="R63" s="156"/>
      <c r="S63" s="156"/>
      <c r="T63" s="92"/>
      <c r="U63" s="156">
        <v>120</v>
      </c>
      <c r="V63" s="92"/>
    </row>
    <row r="64" spans="2:22" ht="28.5" customHeight="1" thickBot="1" x14ac:dyDescent="0.25">
      <c r="B64" s="166" t="s">
        <v>252</v>
      </c>
      <c r="C64" s="151"/>
      <c r="D64" s="151"/>
      <c r="E64" s="151"/>
      <c r="F64" s="135"/>
      <c r="G64" s="135"/>
      <c r="H64" s="135"/>
      <c r="I64" s="135"/>
      <c r="J64" s="164"/>
      <c r="K64" s="346"/>
      <c r="L64" s="162"/>
      <c r="M64" s="124"/>
      <c r="N64" s="137"/>
      <c r="O64" s="165"/>
      <c r="P64" s="165"/>
      <c r="Q64" s="165"/>
      <c r="R64" s="165"/>
      <c r="S64" s="165"/>
      <c r="T64" s="165">
        <v>60</v>
      </c>
      <c r="U64" s="165"/>
      <c r="V64" s="124"/>
    </row>
    <row r="65" spans="2:22" ht="18" customHeight="1" thickBot="1" x14ac:dyDescent="0.3">
      <c r="B65" s="371" t="s">
        <v>164</v>
      </c>
      <c r="C65" s="372"/>
      <c r="D65" s="373" t="e">
        <f t="shared" ref="D65:J65" si="3">D3+D25+D60</f>
        <v>#REF!</v>
      </c>
      <c r="E65" s="373" t="e">
        <f t="shared" si="3"/>
        <v>#REF!</v>
      </c>
      <c r="F65" s="373" t="e">
        <f t="shared" si="3"/>
        <v>#REF!</v>
      </c>
      <c r="G65" s="373" t="e">
        <f t="shared" si="3"/>
        <v>#REF!</v>
      </c>
      <c r="H65" s="373" t="e">
        <f t="shared" si="3"/>
        <v>#REF!</v>
      </c>
      <c r="I65" s="373" t="e">
        <f t="shared" si="3"/>
        <v>#REF!</v>
      </c>
      <c r="J65" s="374" t="e">
        <f t="shared" si="3"/>
        <v>#REF!</v>
      </c>
      <c r="K65" s="375" t="e">
        <f>K3+K25+K60+#REF!</f>
        <v>#REF!</v>
      </c>
      <c r="L65" s="375" t="e">
        <f>L3+L25+L60+#REF!</f>
        <v>#REF!</v>
      </c>
      <c r="M65" s="375">
        <f>M3+M25+M60</f>
        <v>102.93299999999999</v>
      </c>
      <c r="N65" s="375">
        <f t="shared" ref="N65:V65" si="4">N3+N25</f>
        <v>227.80700000000002</v>
      </c>
      <c r="O65" s="375">
        <f t="shared" si="4"/>
        <v>50.768999999999998</v>
      </c>
      <c r="P65" s="375">
        <f t="shared" si="4"/>
        <v>221.15600000000001</v>
      </c>
      <c r="Q65" s="375">
        <f t="shared" si="4"/>
        <v>343.49799999999999</v>
      </c>
      <c r="R65" s="375">
        <f t="shared" si="4"/>
        <v>415.46999999999997</v>
      </c>
      <c r="S65" s="375">
        <f t="shared" si="4"/>
        <v>1574.8150000000001</v>
      </c>
      <c r="T65" s="376">
        <f t="shared" si="4"/>
        <v>2813.9900000000002</v>
      </c>
      <c r="U65" s="376">
        <f t="shared" si="4"/>
        <v>174.053</v>
      </c>
      <c r="V65" s="377">
        <f t="shared" si="4"/>
        <v>35.652999999999999</v>
      </c>
    </row>
    <row r="67" spans="2:22" ht="15" x14ac:dyDescent="0.25">
      <c r="B67" s="177"/>
    </row>
    <row r="68" spans="2:22" ht="15" x14ac:dyDescent="0.25">
      <c r="B68" s="179"/>
    </row>
  </sheetData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topLeftCell="B10" workbookViewId="0">
      <selection activeCell="AB10" sqref="AB10"/>
    </sheetView>
  </sheetViews>
  <sheetFormatPr defaultColWidth="0" defaultRowHeight="12" x14ac:dyDescent="0.2"/>
  <cols>
    <col min="1" max="1" width="0.5703125" style="69" hidden="1"/>
    <col min="2" max="2" width="57.140625" style="69" customWidth="1"/>
    <col min="3" max="3" width="5.7109375" style="69" hidden="1"/>
    <col min="4" max="4" width="9.140625" style="69" hidden="1"/>
    <col min="5" max="5" width="8.140625" style="69" hidden="1"/>
    <col min="6" max="7" width="7.85546875" style="69" hidden="1"/>
    <col min="8" max="8" width="10.7109375" style="69" hidden="1"/>
    <col min="9" max="10" width="9.140625" style="69" hidden="1"/>
    <col min="11" max="11" width="9" style="69" hidden="1"/>
    <col min="12" max="12" width="8.85546875" style="178" hidden="1"/>
    <col min="13" max="15" width="9.140625" style="69" hidden="1"/>
    <col min="16" max="17" width="9.140625" style="69" hidden="1" customWidth="1"/>
    <col min="18" max="18" width="8.28515625" style="69" customWidth="1"/>
    <col min="19" max="19" width="8.140625" style="69" customWidth="1"/>
    <col min="20" max="20" width="8.28515625" style="69" customWidth="1"/>
    <col min="21" max="22" width="8.42578125" style="69" customWidth="1"/>
    <col min="23" max="254" width="9.140625" style="69" customWidth="1"/>
    <col min="255" max="257" width="0" style="69" hidden="1"/>
    <col min="258" max="258" width="42.5703125" style="69" customWidth="1"/>
    <col min="259" max="268" width="0" style="69" hidden="1"/>
    <col min="269" max="510" width="9.140625" style="69" customWidth="1"/>
    <col min="511" max="513" width="0" style="69" hidden="1"/>
    <col min="514" max="514" width="42.5703125" style="69" customWidth="1"/>
    <col min="515" max="524" width="0" style="69" hidden="1"/>
    <col min="525" max="766" width="9.140625" style="69" customWidth="1"/>
    <col min="767" max="769" width="0" style="69" hidden="1"/>
    <col min="770" max="770" width="42.5703125" style="69" customWidth="1"/>
    <col min="771" max="780" width="0" style="69" hidden="1"/>
    <col min="781" max="1022" width="9.140625" style="69" customWidth="1"/>
    <col min="1023" max="1025" width="0" style="69" hidden="1"/>
    <col min="1026" max="1026" width="42.5703125" style="69" customWidth="1"/>
    <col min="1027" max="1036" width="0" style="69" hidden="1"/>
    <col min="1037" max="1278" width="9.140625" style="69" customWidth="1"/>
    <col min="1279" max="1281" width="0" style="69" hidden="1"/>
    <col min="1282" max="1282" width="42.5703125" style="69" customWidth="1"/>
    <col min="1283" max="1292" width="0" style="69" hidden="1"/>
    <col min="1293" max="1534" width="9.140625" style="69" customWidth="1"/>
    <col min="1535" max="1537" width="0" style="69" hidden="1"/>
    <col min="1538" max="1538" width="42.5703125" style="69" customWidth="1"/>
    <col min="1539" max="1548" width="0" style="69" hidden="1"/>
    <col min="1549" max="1790" width="9.140625" style="69" customWidth="1"/>
    <col min="1791" max="1793" width="0" style="69" hidden="1"/>
    <col min="1794" max="1794" width="42.5703125" style="69" customWidth="1"/>
    <col min="1795" max="1804" width="0" style="69" hidden="1"/>
    <col min="1805" max="2046" width="9.140625" style="69" customWidth="1"/>
    <col min="2047" max="2049" width="0" style="69" hidden="1"/>
    <col min="2050" max="2050" width="42.5703125" style="69" customWidth="1"/>
    <col min="2051" max="2060" width="0" style="69" hidden="1"/>
    <col min="2061" max="2302" width="9.140625" style="69" customWidth="1"/>
    <col min="2303" max="2305" width="0" style="69" hidden="1"/>
    <col min="2306" max="2306" width="42.5703125" style="69" customWidth="1"/>
    <col min="2307" max="2316" width="0" style="69" hidden="1"/>
    <col min="2317" max="2558" width="9.140625" style="69" customWidth="1"/>
    <col min="2559" max="2561" width="0" style="69" hidden="1"/>
    <col min="2562" max="2562" width="42.5703125" style="69" customWidth="1"/>
    <col min="2563" max="2572" width="0" style="69" hidden="1"/>
    <col min="2573" max="2814" width="9.140625" style="69" customWidth="1"/>
    <col min="2815" max="2817" width="0" style="69" hidden="1"/>
    <col min="2818" max="2818" width="42.5703125" style="69" customWidth="1"/>
    <col min="2819" max="2828" width="0" style="69" hidden="1"/>
    <col min="2829" max="3070" width="9.140625" style="69" customWidth="1"/>
    <col min="3071" max="3073" width="0" style="69" hidden="1"/>
    <col min="3074" max="3074" width="42.5703125" style="69" customWidth="1"/>
    <col min="3075" max="3084" width="0" style="69" hidden="1"/>
    <col min="3085" max="3326" width="9.140625" style="69" customWidth="1"/>
    <col min="3327" max="3329" width="0" style="69" hidden="1"/>
    <col min="3330" max="3330" width="42.5703125" style="69" customWidth="1"/>
    <col min="3331" max="3340" width="0" style="69" hidden="1"/>
    <col min="3341" max="3582" width="9.140625" style="69" customWidth="1"/>
    <col min="3583" max="3585" width="0" style="69" hidden="1"/>
    <col min="3586" max="3586" width="42.5703125" style="69" customWidth="1"/>
    <col min="3587" max="3596" width="0" style="69" hidden="1"/>
    <col min="3597" max="3838" width="9.140625" style="69" customWidth="1"/>
    <col min="3839" max="3841" width="0" style="69" hidden="1"/>
    <col min="3842" max="3842" width="42.5703125" style="69" customWidth="1"/>
    <col min="3843" max="3852" width="0" style="69" hidden="1"/>
    <col min="3853" max="4094" width="9.140625" style="69" customWidth="1"/>
    <col min="4095" max="4097" width="0" style="69" hidden="1"/>
    <col min="4098" max="4098" width="42.5703125" style="69" customWidth="1"/>
    <col min="4099" max="4108" width="0" style="69" hidden="1"/>
    <col min="4109" max="4350" width="9.140625" style="69" customWidth="1"/>
    <col min="4351" max="4353" width="0" style="69" hidden="1"/>
    <col min="4354" max="4354" width="42.5703125" style="69" customWidth="1"/>
    <col min="4355" max="4364" width="0" style="69" hidden="1"/>
    <col min="4365" max="4606" width="9.140625" style="69" customWidth="1"/>
    <col min="4607" max="4609" width="0" style="69" hidden="1"/>
    <col min="4610" max="4610" width="42.5703125" style="69" customWidth="1"/>
    <col min="4611" max="4620" width="0" style="69" hidden="1"/>
    <col min="4621" max="4862" width="9.140625" style="69" customWidth="1"/>
    <col min="4863" max="4865" width="0" style="69" hidden="1"/>
    <col min="4866" max="4866" width="42.5703125" style="69" customWidth="1"/>
    <col min="4867" max="4876" width="0" style="69" hidden="1"/>
    <col min="4877" max="5118" width="9.140625" style="69" customWidth="1"/>
    <col min="5119" max="5121" width="0" style="69" hidden="1"/>
    <col min="5122" max="5122" width="42.5703125" style="69" customWidth="1"/>
    <col min="5123" max="5132" width="0" style="69" hidden="1"/>
    <col min="5133" max="5374" width="9.140625" style="69" customWidth="1"/>
    <col min="5375" max="5377" width="0" style="69" hidden="1"/>
    <col min="5378" max="5378" width="42.5703125" style="69" customWidth="1"/>
    <col min="5379" max="5388" width="0" style="69" hidden="1"/>
    <col min="5389" max="5630" width="9.140625" style="69" customWidth="1"/>
    <col min="5631" max="5633" width="0" style="69" hidden="1"/>
    <col min="5634" max="5634" width="42.5703125" style="69" customWidth="1"/>
    <col min="5635" max="5644" width="0" style="69" hidden="1"/>
    <col min="5645" max="5886" width="9.140625" style="69" customWidth="1"/>
    <col min="5887" max="5889" width="0" style="69" hidden="1"/>
    <col min="5890" max="5890" width="42.5703125" style="69" customWidth="1"/>
    <col min="5891" max="5900" width="0" style="69" hidden="1"/>
    <col min="5901" max="6142" width="9.140625" style="69" customWidth="1"/>
    <col min="6143" max="6145" width="0" style="69" hidden="1"/>
    <col min="6146" max="6146" width="42.5703125" style="69" customWidth="1"/>
    <col min="6147" max="6156" width="0" style="69" hidden="1"/>
    <col min="6157" max="6398" width="9.140625" style="69" customWidth="1"/>
    <col min="6399" max="6401" width="0" style="69" hidden="1"/>
    <col min="6402" max="6402" width="42.5703125" style="69" customWidth="1"/>
    <col min="6403" max="6412" width="0" style="69" hidden="1"/>
    <col min="6413" max="6654" width="9.140625" style="69" customWidth="1"/>
    <col min="6655" max="6657" width="0" style="69" hidden="1"/>
    <col min="6658" max="6658" width="42.5703125" style="69" customWidth="1"/>
    <col min="6659" max="6668" width="0" style="69" hidden="1"/>
    <col min="6669" max="6910" width="9.140625" style="69" customWidth="1"/>
    <col min="6911" max="6913" width="0" style="69" hidden="1"/>
    <col min="6914" max="6914" width="42.5703125" style="69" customWidth="1"/>
    <col min="6915" max="6924" width="0" style="69" hidden="1"/>
    <col min="6925" max="7166" width="9.140625" style="69" customWidth="1"/>
    <col min="7167" max="7169" width="0" style="69" hidden="1"/>
    <col min="7170" max="7170" width="42.5703125" style="69" customWidth="1"/>
    <col min="7171" max="7180" width="0" style="69" hidden="1"/>
    <col min="7181" max="7422" width="9.140625" style="69" customWidth="1"/>
    <col min="7423" max="7425" width="0" style="69" hidden="1"/>
    <col min="7426" max="7426" width="42.5703125" style="69" customWidth="1"/>
    <col min="7427" max="7436" width="0" style="69" hidden="1"/>
    <col min="7437" max="7678" width="9.140625" style="69" customWidth="1"/>
    <col min="7679" max="7681" width="0" style="69" hidden="1"/>
    <col min="7682" max="7682" width="42.5703125" style="69" customWidth="1"/>
    <col min="7683" max="7692" width="0" style="69" hidden="1"/>
    <col min="7693" max="7934" width="9.140625" style="69" customWidth="1"/>
    <col min="7935" max="7937" width="0" style="69" hidden="1"/>
    <col min="7938" max="7938" width="42.5703125" style="69" customWidth="1"/>
    <col min="7939" max="7948" width="0" style="69" hidden="1"/>
    <col min="7949" max="8190" width="9.140625" style="69" customWidth="1"/>
    <col min="8191" max="8193" width="0" style="69" hidden="1"/>
    <col min="8194" max="8194" width="42.5703125" style="69" customWidth="1"/>
    <col min="8195" max="8204" width="0" style="69" hidden="1"/>
    <col min="8205" max="8446" width="9.140625" style="69" customWidth="1"/>
    <col min="8447" max="8449" width="0" style="69" hidden="1"/>
    <col min="8450" max="8450" width="42.5703125" style="69" customWidth="1"/>
    <col min="8451" max="8460" width="0" style="69" hidden="1"/>
    <col min="8461" max="8702" width="9.140625" style="69" customWidth="1"/>
    <col min="8703" max="8705" width="0" style="69" hidden="1"/>
    <col min="8706" max="8706" width="42.5703125" style="69" customWidth="1"/>
    <col min="8707" max="8716" width="0" style="69" hidden="1"/>
    <col min="8717" max="8958" width="9.140625" style="69" customWidth="1"/>
    <col min="8959" max="8961" width="0" style="69" hidden="1"/>
    <col min="8962" max="8962" width="42.5703125" style="69" customWidth="1"/>
    <col min="8963" max="8972" width="0" style="69" hidden="1"/>
    <col min="8973" max="9214" width="9.140625" style="69" customWidth="1"/>
    <col min="9215" max="9217" width="0" style="69" hidden="1"/>
    <col min="9218" max="9218" width="42.5703125" style="69" customWidth="1"/>
    <col min="9219" max="9228" width="0" style="69" hidden="1"/>
    <col min="9229" max="9470" width="9.140625" style="69" customWidth="1"/>
    <col min="9471" max="9473" width="0" style="69" hidden="1"/>
    <col min="9474" max="9474" width="42.5703125" style="69" customWidth="1"/>
    <col min="9475" max="9484" width="0" style="69" hidden="1"/>
    <col min="9485" max="9726" width="9.140625" style="69" customWidth="1"/>
    <col min="9727" max="9729" width="0" style="69" hidden="1"/>
    <col min="9730" max="9730" width="42.5703125" style="69" customWidth="1"/>
    <col min="9731" max="9740" width="0" style="69" hidden="1"/>
    <col min="9741" max="9982" width="9.140625" style="69" customWidth="1"/>
    <col min="9983" max="9985" width="0" style="69" hidden="1"/>
    <col min="9986" max="9986" width="42.5703125" style="69" customWidth="1"/>
    <col min="9987" max="9996" width="0" style="69" hidden="1"/>
    <col min="9997" max="10238" width="9.140625" style="69" customWidth="1"/>
    <col min="10239" max="10241" width="0" style="69" hidden="1"/>
    <col min="10242" max="10242" width="42.5703125" style="69" customWidth="1"/>
    <col min="10243" max="10252" width="0" style="69" hidden="1"/>
    <col min="10253" max="10494" width="9.140625" style="69" customWidth="1"/>
    <col min="10495" max="10497" width="0" style="69" hidden="1"/>
    <col min="10498" max="10498" width="42.5703125" style="69" customWidth="1"/>
    <col min="10499" max="10508" width="0" style="69" hidden="1"/>
    <col min="10509" max="10750" width="9.140625" style="69" customWidth="1"/>
    <col min="10751" max="10753" width="0" style="69" hidden="1"/>
    <col min="10754" max="10754" width="42.5703125" style="69" customWidth="1"/>
    <col min="10755" max="10764" width="0" style="69" hidden="1"/>
    <col min="10765" max="11006" width="9.140625" style="69" customWidth="1"/>
    <col min="11007" max="11009" width="0" style="69" hidden="1"/>
    <col min="11010" max="11010" width="42.5703125" style="69" customWidth="1"/>
    <col min="11011" max="11020" width="0" style="69" hidden="1"/>
    <col min="11021" max="11262" width="9.140625" style="69" customWidth="1"/>
    <col min="11263" max="11265" width="0" style="69" hidden="1"/>
    <col min="11266" max="11266" width="42.5703125" style="69" customWidth="1"/>
    <col min="11267" max="11276" width="0" style="69" hidden="1"/>
    <col min="11277" max="11518" width="9.140625" style="69" customWidth="1"/>
    <col min="11519" max="11521" width="0" style="69" hidden="1"/>
    <col min="11522" max="11522" width="42.5703125" style="69" customWidth="1"/>
    <col min="11523" max="11532" width="0" style="69" hidden="1"/>
    <col min="11533" max="11774" width="9.140625" style="69" customWidth="1"/>
    <col min="11775" max="11777" width="0" style="69" hidden="1"/>
    <col min="11778" max="11778" width="42.5703125" style="69" customWidth="1"/>
    <col min="11779" max="11788" width="0" style="69" hidden="1"/>
    <col min="11789" max="12030" width="9.140625" style="69" customWidth="1"/>
    <col min="12031" max="12033" width="0" style="69" hidden="1"/>
    <col min="12034" max="12034" width="42.5703125" style="69" customWidth="1"/>
    <col min="12035" max="12044" width="0" style="69" hidden="1"/>
    <col min="12045" max="12286" width="9.140625" style="69" customWidth="1"/>
    <col min="12287" max="12289" width="0" style="69" hidden="1"/>
    <col min="12290" max="12290" width="42.5703125" style="69" customWidth="1"/>
    <col min="12291" max="12300" width="0" style="69" hidden="1"/>
    <col min="12301" max="12542" width="9.140625" style="69" customWidth="1"/>
    <col min="12543" max="12545" width="0" style="69" hidden="1"/>
    <col min="12546" max="12546" width="42.5703125" style="69" customWidth="1"/>
    <col min="12547" max="12556" width="0" style="69" hidden="1"/>
    <col min="12557" max="12798" width="9.140625" style="69" customWidth="1"/>
    <col min="12799" max="12801" width="0" style="69" hidden="1"/>
    <col min="12802" max="12802" width="42.5703125" style="69" customWidth="1"/>
    <col min="12803" max="12812" width="0" style="69" hidden="1"/>
    <col min="12813" max="13054" width="9.140625" style="69" customWidth="1"/>
    <col min="13055" max="13057" width="0" style="69" hidden="1"/>
    <col min="13058" max="13058" width="42.5703125" style="69" customWidth="1"/>
    <col min="13059" max="13068" width="0" style="69" hidden="1"/>
    <col min="13069" max="13310" width="9.140625" style="69" customWidth="1"/>
    <col min="13311" max="13313" width="0" style="69" hidden="1"/>
    <col min="13314" max="13314" width="42.5703125" style="69" customWidth="1"/>
    <col min="13315" max="13324" width="0" style="69" hidden="1"/>
    <col min="13325" max="13566" width="9.140625" style="69" customWidth="1"/>
    <col min="13567" max="13569" width="0" style="69" hidden="1"/>
    <col min="13570" max="13570" width="42.5703125" style="69" customWidth="1"/>
    <col min="13571" max="13580" width="0" style="69" hidden="1"/>
    <col min="13581" max="13822" width="9.140625" style="69" customWidth="1"/>
    <col min="13823" max="13825" width="0" style="69" hidden="1"/>
    <col min="13826" max="13826" width="42.5703125" style="69" customWidth="1"/>
    <col min="13827" max="13836" width="0" style="69" hidden="1"/>
    <col min="13837" max="14078" width="9.140625" style="69" customWidth="1"/>
    <col min="14079" max="14081" width="0" style="69" hidden="1"/>
    <col min="14082" max="14082" width="42.5703125" style="69" customWidth="1"/>
    <col min="14083" max="14092" width="0" style="69" hidden="1"/>
    <col min="14093" max="14334" width="9.140625" style="69" customWidth="1"/>
    <col min="14335" max="14337" width="0" style="69" hidden="1"/>
    <col min="14338" max="14338" width="42.5703125" style="69" customWidth="1"/>
    <col min="14339" max="14348" width="0" style="69" hidden="1"/>
    <col min="14349" max="14590" width="9.140625" style="69" customWidth="1"/>
    <col min="14591" max="14593" width="0" style="69" hidden="1"/>
    <col min="14594" max="14594" width="42.5703125" style="69" customWidth="1"/>
    <col min="14595" max="14604" width="0" style="69" hidden="1"/>
    <col min="14605" max="14846" width="9.140625" style="69" customWidth="1"/>
    <col min="14847" max="14849" width="0" style="69" hidden="1"/>
    <col min="14850" max="14850" width="42.5703125" style="69" customWidth="1"/>
    <col min="14851" max="14860" width="0" style="69" hidden="1"/>
    <col min="14861" max="15102" width="9.140625" style="69" customWidth="1"/>
    <col min="15103" max="15105" width="0" style="69" hidden="1"/>
    <col min="15106" max="15106" width="42.5703125" style="69" customWidth="1"/>
    <col min="15107" max="15116" width="0" style="69" hidden="1"/>
    <col min="15117" max="15358" width="9.140625" style="69" customWidth="1"/>
    <col min="15359" max="15361" width="0" style="69" hidden="1"/>
    <col min="15362" max="15362" width="42.5703125" style="69" customWidth="1"/>
    <col min="15363" max="15372" width="0" style="69" hidden="1"/>
    <col min="15373" max="15614" width="9.140625" style="69" customWidth="1"/>
    <col min="15615" max="15617" width="0" style="69" hidden="1"/>
    <col min="15618" max="15618" width="42.5703125" style="69" customWidth="1"/>
    <col min="15619" max="15628" width="0" style="69" hidden="1"/>
    <col min="15629" max="15870" width="9.140625" style="69" customWidth="1"/>
    <col min="15871" max="15873" width="0" style="69" hidden="1"/>
    <col min="15874" max="15874" width="42.5703125" style="69" customWidth="1"/>
    <col min="15875" max="15884" width="0" style="69" hidden="1"/>
    <col min="15885" max="16126" width="9.140625" style="69" customWidth="1"/>
    <col min="16127" max="16129" width="0" style="69" hidden="1"/>
    <col min="16130" max="16130" width="42.5703125" style="69" customWidth="1"/>
    <col min="16131" max="16140" width="0" style="69" hidden="1"/>
    <col min="16141" max="16382" width="9.140625" style="69" customWidth="1"/>
    <col min="16383" max="16384" width="0" style="69" hidden="1"/>
  </cols>
  <sheetData>
    <row r="1" spans="2:22" ht="18.75" thickBot="1" x14ac:dyDescent="0.3">
      <c r="B1" s="94"/>
      <c r="J1" s="94"/>
      <c r="K1" s="94"/>
      <c r="L1" s="95"/>
      <c r="M1" s="94"/>
      <c r="T1" s="61"/>
      <c r="V1" s="350" t="s">
        <v>30</v>
      </c>
    </row>
    <row r="2" spans="2:22" ht="24.75" thickBot="1" x14ac:dyDescent="0.25">
      <c r="B2" s="96" t="s">
        <v>166</v>
      </c>
      <c r="C2" s="97" t="s">
        <v>167</v>
      </c>
      <c r="D2" s="98">
        <v>2008</v>
      </c>
      <c r="E2" s="98">
        <v>2008</v>
      </c>
      <c r="F2" s="98">
        <v>2009</v>
      </c>
      <c r="G2" s="98">
        <v>2010</v>
      </c>
      <c r="H2" s="98">
        <v>2011</v>
      </c>
      <c r="I2" s="98">
        <v>2012</v>
      </c>
      <c r="J2" s="99">
        <v>2014</v>
      </c>
      <c r="K2" s="100">
        <v>2015</v>
      </c>
      <c r="L2" s="101">
        <v>2016</v>
      </c>
      <c r="M2" s="102">
        <v>2018</v>
      </c>
      <c r="N2" s="102">
        <v>2019</v>
      </c>
      <c r="O2" s="101">
        <v>2020</v>
      </c>
      <c r="P2" s="101">
        <v>2021</v>
      </c>
      <c r="Q2" s="102">
        <v>2022</v>
      </c>
      <c r="R2" s="103">
        <v>2023</v>
      </c>
      <c r="S2" s="104">
        <v>2024</v>
      </c>
      <c r="T2" s="101">
        <v>2025</v>
      </c>
      <c r="U2" s="101">
        <v>2026</v>
      </c>
      <c r="V2" s="298">
        <v>2027</v>
      </c>
    </row>
    <row r="3" spans="2:22" ht="15.75" customHeight="1" thickBot="1" x14ac:dyDescent="0.25">
      <c r="B3" s="105" t="s">
        <v>168</v>
      </c>
      <c r="C3" s="98" t="s">
        <v>31</v>
      </c>
      <c r="D3" s="106" t="e">
        <f>SUM(#REF!)</f>
        <v>#REF!</v>
      </c>
      <c r="E3" s="106" t="e">
        <f>SUM(#REF!)</f>
        <v>#REF!</v>
      </c>
      <c r="F3" s="106" t="e">
        <f>SUM(#REF!)</f>
        <v>#REF!</v>
      </c>
      <c r="G3" s="106" t="e">
        <f>SUM(#REF!)</f>
        <v>#REF!</v>
      </c>
      <c r="H3" s="106" t="e">
        <f>SUM(#REF!)</f>
        <v>#REF!</v>
      </c>
      <c r="I3" s="106" t="e">
        <f>SUM(#REF!)</f>
        <v>#REF!</v>
      </c>
      <c r="J3" s="106" t="e">
        <f>SUM(#REF!)</f>
        <v>#REF!</v>
      </c>
      <c r="K3" s="106" t="e">
        <f>SUM(#REF!)</f>
        <v>#REF!</v>
      </c>
      <c r="L3" s="107" t="e">
        <f>SUM(#REF!)</f>
        <v>#REF!</v>
      </c>
      <c r="M3" s="108">
        <f>SUM(M4:M14)</f>
        <v>81.932999999999993</v>
      </c>
      <c r="N3" s="108">
        <f>SUM(N4:N14)</f>
        <v>197.80700000000002</v>
      </c>
      <c r="O3" s="108">
        <f t="shared" ref="O3:V3" si="0">SUM(O4:O13)</f>
        <v>39.449999999999996</v>
      </c>
      <c r="P3" s="108">
        <f t="shared" si="0"/>
        <v>0</v>
      </c>
      <c r="Q3" s="306">
        <f t="shared" si="0"/>
        <v>0</v>
      </c>
      <c r="R3" s="306">
        <f t="shared" si="0"/>
        <v>0</v>
      </c>
      <c r="S3" s="306">
        <f t="shared" si="0"/>
        <v>1</v>
      </c>
      <c r="T3" s="306">
        <f t="shared" si="0"/>
        <v>8</v>
      </c>
      <c r="U3" s="306">
        <f t="shared" si="0"/>
        <v>1</v>
      </c>
      <c r="V3" s="356">
        <f t="shared" si="0"/>
        <v>1</v>
      </c>
    </row>
    <row r="4" spans="2:22" s="127" customFormat="1" ht="27" customHeight="1" x14ac:dyDescent="0.2">
      <c r="B4" s="91" t="s">
        <v>262</v>
      </c>
      <c r="C4" s="110">
        <v>45.6</v>
      </c>
      <c r="D4" s="111">
        <v>22.9</v>
      </c>
      <c r="E4" s="111">
        <v>30.2</v>
      </c>
      <c r="F4" s="112"/>
      <c r="G4" s="113"/>
      <c r="H4" s="113"/>
      <c r="I4" s="114"/>
      <c r="J4" s="113"/>
      <c r="K4" s="115"/>
      <c r="L4" s="116"/>
      <c r="M4" s="92">
        <v>45.6</v>
      </c>
      <c r="N4" s="124">
        <v>22.9</v>
      </c>
      <c r="O4" s="124">
        <v>30.2</v>
      </c>
      <c r="P4" s="124"/>
      <c r="Q4" s="124"/>
      <c r="R4" s="124"/>
      <c r="S4" s="124"/>
      <c r="T4" s="125"/>
      <c r="U4" s="336"/>
      <c r="V4" s="354">
        <v>1</v>
      </c>
    </row>
    <row r="5" spans="2:22" ht="26.25" customHeight="1" x14ac:dyDescent="0.2">
      <c r="B5" s="91" t="s">
        <v>264</v>
      </c>
      <c r="C5" s="110"/>
      <c r="D5" s="111"/>
      <c r="E5" s="111"/>
      <c r="F5" s="112"/>
      <c r="G5" s="113"/>
      <c r="H5" s="113"/>
      <c r="I5" s="114"/>
      <c r="J5" s="113"/>
      <c r="K5" s="130"/>
      <c r="L5" s="335"/>
      <c r="M5" s="336"/>
      <c r="N5" s="334"/>
      <c r="O5" s="89"/>
      <c r="P5" s="89"/>
      <c r="Q5" s="124"/>
      <c r="R5" s="124"/>
      <c r="S5" s="124"/>
      <c r="T5" s="131"/>
      <c r="U5" s="117">
        <v>1</v>
      </c>
      <c r="V5" s="92"/>
    </row>
    <row r="6" spans="2:22" ht="24" customHeight="1" x14ac:dyDescent="0.2">
      <c r="B6" s="91" t="s">
        <v>261</v>
      </c>
      <c r="C6" s="110"/>
      <c r="D6" s="111"/>
      <c r="E6" s="111"/>
      <c r="F6" s="112"/>
      <c r="G6" s="113"/>
      <c r="H6" s="113"/>
      <c r="I6" s="114"/>
      <c r="J6" s="113"/>
      <c r="K6" s="130"/>
      <c r="L6" s="335"/>
      <c r="M6" s="336"/>
      <c r="N6" s="334"/>
      <c r="O6" s="89">
        <v>2.681</v>
      </c>
      <c r="P6" s="89"/>
      <c r="Q6" s="124"/>
      <c r="R6" s="124"/>
      <c r="S6" s="124"/>
      <c r="T6" s="125">
        <v>1</v>
      </c>
      <c r="U6" s="117"/>
      <c r="V6" s="92"/>
    </row>
    <row r="7" spans="2:22" ht="25.5" customHeight="1" x14ac:dyDescent="0.2">
      <c r="B7" s="91" t="s">
        <v>169</v>
      </c>
      <c r="C7" s="110"/>
      <c r="D7" s="111"/>
      <c r="E7" s="111"/>
      <c r="F7" s="112"/>
      <c r="G7" s="113"/>
      <c r="H7" s="113"/>
      <c r="I7" s="114"/>
      <c r="J7" s="113"/>
      <c r="K7" s="115"/>
      <c r="L7" s="116"/>
      <c r="M7" s="92"/>
      <c r="N7" s="92"/>
      <c r="O7" s="92">
        <v>4.5</v>
      </c>
      <c r="P7" s="117"/>
      <c r="Q7" s="117"/>
      <c r="R7" s="117"/>
      <c r="S7" s="117">
        <v>1</v>
      </c>
      <c r="T7" s="117"/>
      <c r="U7" s="117"/>
      <c r="V7" s="92"/>
    </row>
    <row r="8" spans="2:22" ht="30" customHeight="1" x14ac:dyDescent="0.2">
      <c r="B8" s="91" t="s">
        <v>163</v>
      </c>
      <c r="C8" s="110"/>
      <c r="D8" s="111"/>
      <c r="E8" s="111"/>
      <c r="F8" s="112"/>
      <c r="G8" s="113"/>
      <c r="H8" s="113"/>
      <c r="I8" s="114"/>
      <c r="J8" s="113"/>
      <c r="K8" s="115"/>
      <c r="L8" s="116"/>
      <c r="M8" s="128"/>
      <c r="N8" s="132"/>
      <c r="O8" s="124"/>
      <c r="P8" s="125"/>
      <c r="Q8" s="125"/>
      <c r="R8" s="125"/>
      <c r="S8" s="125"/>
      <c r="T8" s="117">
        <v>1</v>
      </c>
      <c r="U8" s="117"/>
      <c r="V8" s="92"/>
    </row>
    <row r="9" spans="2:22" ht="37.5" customHeight="1" x14ac:dyDescent="0.2">
      <c r="B9" s="91" t="s">
        <v>170</v>
      </c>
      <c r="C9" s="110"/>
      <c r="D9" s="111"/>
      <c r="E9" s="111"/>
      <c r="F9" s="112"/>
      <c r="G9" s="113"/>
      <c r="H9" s="113"/>
      <c r="I9" s="114"/>
      <c r="J9" s="113"/>
      <c r="K9" s="115"/>
      <c r="L9" s="116"/>
      <c r="M9" s="337">
        <v>32.880000000000003</v>
      </c>
      <c r="N9" s="338">
        <v>172.86</v>
      </c>
      <c r="O9" s="124"/>
      <c r="P9" s="125"/>
      <c r="Q9" s="125"/>
      <c r="R9" s="125"/>
      <c r="S9" s="125"/>
      <c r="T9" s="117">
        <v>1</v>
      </c>
      <c r="U9" s="117"/>
      <c r="V9" s="92"/>
    </row>
    <row r="10" spans="2:22" ht="26.25" customHeight="1" x14ac:dyDescent="0.2">
      <c r="B10" s="91" t="s">
        <v>192</v>
      </c>
      <c r="C10" s="110"/>
      <c r="D10" s="111"/>
      <c r="E10" s="111"/>
      <c r="F10" s="112"/>
      <c r="G10" s="113"/>
      <c r="H10" s="113"/>
      <c r="I10" s="114"/>
      <c r="J10" s="113"/>
      <c r="K10" s="115"/>
      <c r="L10" s="116"/>
      <c r="M10" s="337"/>
      <c r="N10" s="338"/>
      <c r="O10" s="124"/>
      <c r="P10" s="125"/>
      <c r="Q10" s="125"/>
      <c r="R10" s="125"/>
      <c r="S10" s="125"/>
      <c r="T10" s="117">
        <v>1</v>
      </c>
      <c r="U10" s="117"/>
      <c r="V10" s="92"/>
    </row>
    <row r="11" spans="2:22" ht="30.75" customHeight="1" x14ac:dyDescent="0.2">
      <c r="B11" s="91" t="s">
        <v>193</v>
      </c>
      <c r="C11" s="110"/>
      <c r="D11" s="111"/>
      <c r="E11" s="111"/>
      <c r="F11" s="112"/>
      <c r="G11" s="113"/>
      <c r="H11" s="113"/>
      <c r="I11" s="114"/>
      <c r="J11" s="113"/>
      <c r="K11" s="115"/>
      <c r="L11" s="116"/>
      <c r="M11" s="337"/>
      <c r="N11" s="338"/>
      <c r="O11" s="124"/>
      <c r="P11" s="125"/>
      <c r="Q11" s="125"/>
      <c r="R11" s="125"/>
      <c r="S11" s="125"/>
      <c r="T11" s="117">
        <v>2</v>
      </c>
      <c r="U11" s="117"/>
      <c r="V11" s="92"/>
    </row>
    <row r="12" spans="2:22" ht="24" x14ac:dyDescent="0.2">
      <c r="B12" s="93" t="s">
        <v>171</v>
      </c>
      <c r="C12" s="110"/>
      <c r="D12" s="111"/>
      <c r="E12" s="111"/>
      <c r="F12" s="112"/>
      <c r="G12" s="113"/>
      <c r="H12" s="113"/>
      <c r="I12" s="114"/>
      <c r="J12" s="113"/>
      <c r="K12" s="115"/>
      <c r="L12" s="116"/>
      <c r="M12" s="339">
        <v>1.2490000000000001</v>
      </c>
      <c r="N12" s="340">
        <v>1.3149999999999999</v>
      </c>
      <c r="O12" s="341">
        <v>1.306</v>
      </c>
      <c r="P12" s="341"/>
      <c r="Q12" s="341"/>
      <c r="R12" s="341"/>
      <c r="S12" s="351"/>
      <c r="T12" s="352">
        <v>1</v>
      </c>
      <c r="U12" s="117"/>
      <c r="V12" s="92"/>
    </row>
    <row r="13" spans="2:22" ht="24.75" thickBot="1" x14ac:dyDescent="0.25">
      <c r="B13" s="134" t="s">
        <v>172</v>
      </c>
      <c r="C13" s="342"/>
      <c r="D13" s="343"/>
      <c r="E13" s="343"/>
      <c r="F13" s="344"/>
      <c r="G13" s="345"/>
      <c r="H13" s="345"/>
      <c r="I13" s="135"/>
      <c r="J13" s="345"/>
      <c r="K13" s="346"/>
      <c r="L13" s="347"/>
      <c r="M13" s="348">
        <v>2.2040000000000002</v>
      </c>
      <c r="N13" s="349">
        <v>0.73199999999999998</v>
      </c>
      <c r="O13" s="341">
        <v>0.76300000000000001</v>
      </c>
      <c r="P13" s="341"/>
      <c r="Q13" s="341"/>
      <c r="R13" s="341"/>
      <c r="S13" s="351"/>
      <c r="T13" s="352">
        <v>1</v>
      </c>
      <c r="U13" s="117"/>
      <c r="V13" s="92"/>
    </row>
    <row r="14" spans="2:22" ht="12.75" hidden="1" thickBot="1" x14ac:dyDescent="0.25"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90"/>
      <c r="S14" s="136"/>
      <c r="T14" s="133"/>
      <c r="U14" s="133"/>
      <c r="V14" s="137"/>
    </row>
    <row r="15" spans="2:22" ht="16.5" customHeight="1" thickBot="1" x14ac:dyDescent="0.25">
      <c r="B15" s="138" t="s">
        <v>162</v>
      </c>
      <c r="C15" s="139" t="s">
        <v>31</v>
      </c>
      <c r="D15" s="98">
        <f>SUM(D16:D30)</f>
        <v>0</v>
      </c>
      <c r="E15" s="98"/>
      <c r="F15" s="106">
        <f>SUM(F16:F30)</f>
        <v>0</v>
      </c>
      <c r="G15" s="106">
        <f>SUM(G16:G30)</f>
        <v>11.4</v>
      </c>
      <c r="H15" s="106">
        <f>SUM(H16:H30)</f>
        <v>32.799999999999997</v>
      </c>
      <c r="I15" s="106">
        <f>SUM(I16:I30)</f>
        <v>6</v>
      </c>
      <c r="J15" s="107">
        <f>SUM(J16:J30)</f>
        <v>32</v>
      </c>
      <c r="K15" s="108">
        <f>SUM(K17:K36)</f>
        <v>164</v>
      </c>
      <c r="L15" s="108" t="e">
        <f>L17+L18+#REF!+L22+L23+#REF!+#REF!+L28+L30+L33+L36+L39+L29</f>
        <v>#REF!</v>
      </c>
      <c r="M15" s="108">
        <f>SUM(M17:M49)</f>
        <v>21</v>
      </c>
      <c r="N15" s="108">
        <f>SUM(N17:N49)</f>
        <v>30</v>
      </c>
      <c r="O15" s="108">
        <f>SUM(O17:O48)</f>
        <v>14</v>
      </c>
      <c r="P15" s="108">
        <f>SUM(P17:P53)</f>
        <v>0</v>
      </c>
      <c r="Q15" s="306">
        <f>SUM(Q17:Q54)</f>
        <v>5</v>
      </c>
      <c r="R15" s="306">
        <f t="shared" ref="R15:V15" si="1">SUM(R17:R54)</f>
        <v>3</v>
      </c>
      <c r="S15" s="306">
        <f t="shared" si="1"/>
        <v>10</v>
      </c>
      <c r="T15" s="306">
        <f t="shared" si="1"/>
        <v>3</v>
      </c>
      <c r="U15" s="306">
        <f t="shared" si="1"/>
        <v>2</v>
      </c>
      <c r="V15" s="356">
        <f t="shared" si="1"/>
        <v>1</v>
      </c>
    </row>
    <row r="16" spans="2:22" hidden="1" x14ac:dyDescent="0.2">
      <c r="B16" s="140"/>
      <c r="C16" s="141"/>
      <c r="D16" s="142"/>
      <c r="E16" s="142"/>
      <c r="F16" s="143"/>
      <c r="G16" s="144">
        <v>11.4</v>
      </c>
      <c r="H16" s="144"/>
      <c r="I16" s="144">
        <v>6</v>
      </c>
      <c r="J16" s="145"/>
      <c r="K16" s="146"/>
      <c r="L16" s="147"/>
      <c r="M16" s="148"/>
      <c r="N16" s="119"/>
      <c r="P16" s="118"/>
      <c r="Q16" s="118"/>
      <c r="R16" s="129"/>
      <c r="S16" s="118"/>
      <c r="T16" s="118"/>
      <c r="U16" s="118"/>
      <c r="V16" s="119"/>
    </row>
    <row r="17" spans="2:22" ht="24" x14ac:dyDescent="0.2">
      <c r="B17" s="149" t="s">
        <v>173</v>
      </c>
      <c r="C17" s="150"/>
      <c r="D17" s="151"/>
      <c r="E17" s="151"/>
      <c r="F17" s="152"/>
      <c r="G17" s="135"/>
      <c r="H17" s="135"/>
      <c r="I17" s="135"/>
      <c r="J17" s="153"/>
      <c r="K17" s="115">
        <v>4</v>
      </c>
      <c r="L17" s="154">
        <v>2</v>
      </c>
      <c r="M17" s="155"/>
      <c r="N17" s="156"/>
      <c r="O17" s="157"/>
      <c r="P17" s="180"/>
      <c r="Q17" s="180"/>
      <c r="R17" s="180"/>
      <c r="S17" s="180"/>
      <c r="T17" s="180">
        <v>1</v>
      </c>
      <c r="U17" s="180"/>
      <c r="V17" s="92"/>
    </row>
    <row r="18" spans="2:22" hidden="1" x14ac:dyDescent="0.2">
      <c r="B18" s="149"/>
      <c r="C18" s="150"/>
      <c r="D18" s="151"/>
      <c r="E18" s="151"/>
      <c r="F18" s="152"/>
      <c r="G18" s="135"/>
      <c r="H18" s="135"/>
      <c r="I18" s="135"/>
      <c r="J18" s="153"/>
      <c r="K18" s="115"/>
      <c r="L18" s="154"/>
      <c r="M18" s="155"/>
      <c r="N18" s="156"/>
      <c r="O18" s="157"/>
      <c r="P18" s="180"/>
      <c r="Q18" s="180"/>
      <c r="R18" s="180"/>
      <c r="S18" s="180"/>
      <c r="T18" s="180"/>
      <c r="U18" s="180"/>
      <c r="V18" s="92"/>
    </row>
    <row r="19" spans="2:22" ht="24" x14ac:dyDescent="0.2">
      <c r="B19" s="149" t="s">
        <v>174</v>
      </c>
      <c r="C19" s="150"/>
      <c r="D19" s="151"/>
      <c r="E19" s="151"/>
      <c r="F19" s="152"/>
      <c r="G19" s="135"/>
      <c r="H19" s="135"/>
      <c r="I19" s="135"/>
      <c r="J19" s="153"/>
      <c r="K19" s="115"/>
      <c r="L19" s="154"/>
      <c r="M19" s="155"/>
      <c r="N19" s="157"/>
      <c r="O19" s="157"/>
      <c r="P19" s="180"/>
      <c r="Q19" s="180"/>
      <c r="R19" s="180"/>
      <c r="S19" s="180">
        <v>1</v>
      </c>
      <c r="T19" s="180"/>
      <c r="U19" s="180"/>
      <c r="V19" s="92"/>
    </row>
    <row r="20" spans="2:22" ht="24" x14ac:dyDescent="0.2">
      <c r="B20" s="149" t="s">
        <v>253</v>
      </c>
      <c r="C20" s="150"/>
      <c r="D20" s="151"/>
      <c r="E20" s="151"/>
      <c r="F20" s="152"/>
      <c r="G20" s="135"/>
      <c r="H20" s="135"/>
      <c r="I20" s="135"/>
      <c r="J20" s="153"/>
      <c r="K20" s="115"/>
      <c r="L20" s="154"/>
      <c r="M20" s="155"/>
      <c r="N20" s="157"/>
      <c r="O20" s="157"/>
      <c r="P20" s="180"/>
      <c r="Q20" s="180"/>
      <c r="R20" s="180"/>
      <c r="S20" s="180">
        <v>1</v>
      </c>
      <c r="T20" s="180"/>
      <c r="U20" s="180"/>
      <c r="V20" s="92"/>
    </row>
    <row r="21" spans="2:22" x14ac:dyDescent="0.2">
      <c r="B21" s="149" t="s">
        <v>254</v>
      </c>
      <c r="C21" s="150"/>
      <c r="D21" s="151"/>
      <c r="E21" s="151"/>
      <c r="F21" s="152"/>
      <c r="G21" s="135"/>
      <c r="H21" s="135"/>
      <c r="I21" s="135"/>
      <c r="J21" s="153"/>
      <c r="K21" s="115"/>
      <c r="L21" s="154"/>
      <c r="M21" s="155"/>
      <c r="N21" s="157"/>
      <c r="O21" s="157"/>
      <c r="P21" s="180"/>
      <c r="Q21" s="180"/>
      <c r="R21" s="180">
        <v>1</v>
      </c>
      <c r="S21" s="180"/>
      <c r="T21" s="180"/>
      <c r="U21" s="180"/>
      <c r="V21" s="92"/>
    </row>
    <row r="22" spans="2:22" hidden="1" x14ac:dyDescent="0.2">
      <c r="B22" s="149" t="s">
        <v>175</v>
      </c>
      <c r="C22" s="126"/>
      <c r="D22" s="126"/>
      <c r="E22" s="126"/>
      <c r="F22" s="114"/>
      <c r="G22" s="114"/>
      <c r="H22" s="114"/>
      <c r="I22" s="114"/>
      <c r="J22" s="130"/>
      <c r="K22" s="159"/>
      <c r="L22" s="159">
        <v>115</v>
      </c>
      <c r="M22" s="157"/>
      <c r="N22" s="157"/>
      <c r="O22" s="157"/>
      <c r="P22" s="180"/>
      <c r="Q22" s="180"/>
      <c r="R22" s="180"/>
      <c r="S22" s="180"/>
      <c r="T22" s="180"/>
      <c r="U22" s="180"/>
      <c r="V22" s="92"/>
    </row>
    <row r="23" spans="2:22" hidden="1" x14ac:dyDescent="0.2">
      <c r="B23" s="149"/>
      <c r="C23" s="160"/>
      <c r="D23" s="126"/>
      <c r="E23" s="126"/>
      <c r="F23" s="114"/>
      <c r="G23" s="114"/>
      <c r="H23" s="114"/>
      <c r="I23" s="114"/>
      <c r="J23" s="161"/>
      <c r="K23" s="159"/>
      <c r="L23" s="158">
        <v>2</v>
      </c>
      <c r="M23" s="157"/>
      <c r="N23" s="157"/>
      <c r="O23" s="157"/>
      <c r="P23" s="180"/>
      <c r="Q23" s="180"/>
      <c r="R23" s="180"/>
      <c r="S23" s="180"/>
      <c r="T23" s="180"/>
      <c r="U23" s="180"/>
      <c r="V23" s="92"/>
    </row>
    <row r="24" spans="2:22" ht="24" hidden="1" x14ac:dyDescent="0.2">
      <c r="B24" s="149" t="s">
        <v>176</v>
      </c>
      <c r="C24" s="160"/>
      <c r="D24" s="126"/>
      <c r="E24" s="126"/>
      <c r="F24" s="114"/>
      <c r="G24" s="114"/>
      <c r="H24" s="114"/>
      <c r="I24" s="114"/>
      <c r="J24" s="161"/>
      <c r="K24" s="159"/>
      <c r="L24" s="158">
        <v>2</v>
      </c>
      <c r="M24" s="157"/>
      <c r="N24" s="157"/>
      <c r="O24" s="157"/>
      <c r="P24" s="180"/>
      <c r="Q24" s="180"/>
      <c r="R24" s="180"/>
      <c r="S24" s="180"/>
      <c r="T24" s="180"/>
      <c r="U24" s="180"/>
      <c r="V24" s="92"/>
    </row>
    <row r="25" spans="2:22" ht="24" hidden="1" x14ac:dyDescent="0.2">
      <c r="B25" s="149" t="s">
        <v>177</v>
      </c>
      <c r="C25" s="151"/>
      <c r="D25" s="151"/>
      <c r="E25" s="151"/>
      <c r="F25" s="135"/>
      <c r="G25" s="135"/>
      <c r="H25" s="135">
        <v>32.799999999999997</v>
      </c>
      <c r="I25" s="135"/>
      <c r="J25" s="153">
        <v>32</v>
      </c>
      <c r="K25" s="159"/>
      <c r="L25" s="158"/>
      <c r="M25" s="157"/>
      <c r="N25" s="157"/>
      <c r="O25" s="157"/>
      <c r="P25" s="180"/>
      <c r="Q25" s="180"/>
      <c r="R25" s="180"/>
      <c r="S25" s="180"/>
      <c r="T25" s="180"/>
      <c r="U25" s="180"/>
      <c r="V25" s="92"/>
    </row>
    <row r="26" spans="2:22" x14ac:dyDescent="0.2">
      <c r="B26" s="149" t="s">
        <v>255</v>
      </c>
      <c r="C26" s="151"/>
      <c r="D26" s="151"/>
      <c r="E26" s="151"/>
      <c r="F26" s="135"/>
      <c r="G26" s="135"/>
      <c r="H26" s="135"/>
      <c r="I26" s="135"/>
      <c r="J26" s="153"/>
      <c r="K26" s="159"/>
      <c r="L26" s="158"/>
      <c r="M26" s="157"/>
      <c r="N26" s="157"/>
      <c r="O26" s="157">
        <v>10</v>
      </c>
      <c r="P26" s="180"/>
      <c r="Q26" s="180"/>
      <c r="R26" s="180"/>
      <c r="S26" s="180">
        <v>1</v>
      </c>
      <c r="T26" s="180"/>
      <c r="U26" s="180"/>
      <c r="V26" s="92"/>
    </row>
    <row r="27" spans="2:22" x14ac:dyDescent="0.2">
      <c r="B27" s="149" t="s">
        <v>256</v>
      </c>
      <c r="C27" s="151"/>
      <c r="D27" s="151"/>
      <c r="E27" s="151"/>
      <c r="F27" s="135"/>
      <c r="G27" s="135"/>
      <c r="H27" s="135"/>
      <c r="I27" s="135"/>
      <c r="J27" s="153"/>
      <c r="K27" s="159"/>
      <c r="L27" s="158"/>
      <c r="M27" s="157"/>
      <c r="N27" s="157"/>
      <c r="O27" s="157"/>
      <c r="P27" s="180"/>
      <c r="Q27" s="180"/>
      <c r="R27" s="180"/>
      <c r="S27" s="180"/>
      <c r="T27" s="180">
        <v>1</v>
      </c>
      <c r="U27" s="180"/>
      <c r="V27" s="92"/>
    </row>
    <row r="28" spans="2:22" ht="14.25" customHeight="1" x14ac:dyDescent="0.2">
      <c r="B28" s="149" t="s">
        <v>178</v>
      </c>
      <c r="C28" s="151"/>
      <c r="D28" s="151"/>
      <c r="E28" s="151"/>
      <c r="F28" s="135"/>
      <c r="G28" s="135"/>
      <c r="H28" s="135"/>
      <c r="I28" s="135"/>
      <c r="J28" s="153"/>
      <c r="K28" s="159"/>
      <c r="L28" s="158"/>
      <c r="M28" s="157">
        <v>2</v>
      </c>
      <c r="N28" s="157">
        <v>7</v>
      </c>
      <c r="O28" s="157">
        <v>4</v>
      </c>
      <c r="P28" s="180"/>
      <c r="Q28" s="180"/>
      <c r="R28" s="180">
        <v>1</v>
      </c>
      <c r="S28" s="180">
        <v>1</v>
      </c>
      <c r="T28" s="180"/>
      <c r="U28" s="180"/>
      <c r="V28" s="92"/>
    </row>
    <row r="29" spans="2:22" hidden="1" x14ac:dyDescent="0.2">
      <c r="B29" s="149"/>
      <c r="C29" s="151"/>
      <c r="D29" s="151"/>
      <c r="E29" s="151"/>
      <c r="F29" s="135"/>
      <c r="G29" s="135"/>
      <c r="H29" s="135"/>
      <c r="I29" s="135"/>
      <c r="J29" s="153"/>
      <c r="K29" s="159">
        <v>63</v>
      </c>
      <c r="L29" s="158">
        <v>54</v>
      </c>
      <c r="M29" s="157"/>
      <c r="N29" s="157"/>
      <c r="O29" s="157"/>
      <c r="P29" s="180"/>
      <c r="Q29" s="180"/>
      <c r="R29" s="180"/>
      <c r="S29" s="180"/>
      <c r="T29" s="180"/>
      <c r="U29" s="180"/>
      <c r="V29" s="92"/>
    </row>
    <row r="30" spans="2:22" ht="24" x14ac:dyDescent="0.2">
      <c r="B30" s="149" t="s">
        <v>179</v>
      </c>
      <c r="C30" s="151"/>
      <c r="D30" s="151"/>
      <c r="E30" s="151"/>
      <c r="F30" s="135"/>
      <c r="G30" s="135"/>
      <c r="H30" s="135"/>
      <c r="I30" s="135"/>
      <c r="J30" s="153"/>
      <c r="K30" s="162"/>
      <c r="L30" s="163"/>
      <c r="M30" s="131">
        <v>15</v>
      </c>
      <c r="N30" s="157"/>
      <c r="O30" s="157"/>
      <c r="P30" s="180"/>
      <c r="Q30" s="180">
        <v>1</v>
      </c>
      <c r="R30" s="180"/>
      <c r="S30" s="180"/>
      <c r="T30" s="180"/>
      <c r="U30" s="180"/>
      <c r="V30" s="92"/>
    </row>
    <row r="31" spans="2:22" ht="36" hidden="1" x14ac:dyDescent="0.2">
      <c r="B31" s="149" t="s">
        <v>180</v>
      </c>
      <c r="C31" s="151"/>
      <c r="D31" s="151"/>
      <c r="E31" s="151"/>
      <c r="F31" s="135"/>
      <c r="G31" s="135"/>
      <c r="H31" s="135"/>
      <c r="I31" s="135"/>
      <c r="J31" s="153"/>
      <c r="K31" s="162"/>
      <c r="L31" s="163"/>
      <c r="M31" s="131"/>
      <c r="N31" s="157"/>
      <c r="O31" s="157"/>
      <c r="P31" s="180"/>
      <c r="Q31" s="180"/>
      <c r="R31" s="180"/>
      <c r="S31" s="180"/>
      <c r="T31" s="180"/>
      <c r="U31" s="180"/>
      <c r="V31" s="92"/>
    </row>
    <row r="32" spans="2:22" ht="17.25" customHeight="1" x14ac:dyDescent="0.2">
      <c r="B32" s="149" t="s">
        <v>257</v>
      </c>
      <c r="C32" s="151"/>
      <c r="D32" s="151"/>
      <c r="E32" s="151"/>
      <c r="F32" s="135"/>
      <c r="G32" s="135"/>
      <c r="H32" s="135"/>
      <c r="I32" s="135"/>
      <c r="J32" s="153"/>
      <c r="K32" s="162"/>
      <c r="L32" s="163"/>
      <c r="M32" s="131"/>
      <c r="N32" s="157"/>
      <c r="O32" s="157"/>
      <c r="P32" s="180"/>
      <c r="Q32" s="180"/>
      <c r="R32" s="180"/>
      <c r="S32" s="180"/>
      <c r="T32" s="180"/>
      <c r="U32" s="180">
        <v>1</v>
      </c>
      <c r="V32" s="92"/>
    </row>
    <row r="33" spans="1:22" ht="24.75" hidden="1" customHeight="1" x14ac:dyDescent="0.2">
      <c r="B33" s="149"/>
      <c r="C33" s="151"/>
      <c r="D33" s="151"/>
      <c r="E33" s="151"/>
      <c r="F33" s="135"/>
      <c r="G33" s="135"/>
      <c r="H33" s="135"/>
      <c r="I33" s="135">
        <v>0.3</v>
      </c>
      <c r="J33" s="153"/>
      <c r="K33" s="162">
        <v>86</v>
      </c>
      <c r="L33" s="163">
        <v>42</v>
      </c>
      <c r="M33" s="131"/>
      <c r="N33" s="157"/>
      <c r="O33" s="157"/>
      <c r="P33" s="180"/>
      <c r="Q33" s="180"/>
      <c r="R33" s="180"/>
      <c r="S33" s="180"/>
      <c r="T33" s="180"/>
      <c r="U33" s="180"/>
      <c r="V33" s="92"/>
    </row>
    <row r="34" spans="1:22" hidden="1" x14ac:dyDescent="0.2">
      <c r="B34" s="149"/>
      <c r="C34" s="126"/>
      <c r="D34" s="126"/>
      <c r="E34" s="126"/>
      <c r="F34" s="114"/>
      <c r="G34" s="114"/>
      <c r="H34" s="114"/>
      <c r="I34" s="114"/>
      <c r="J34" s="130"/>
      <c r="K34" s="159">
        <v>11</v>
      </c>
      <c r="L34" s="159"/>
      <c r="M34" s="156"/>
      <c r="N34" s="157"/>
      <c r="O34" s="157"/>
      <c r="P34" s="180"/>
      <c r="Q34" s="180"/>
      <c r="R34" s="180"/>
      <c r="S34" s="180"/>
      <c r="T34" s="180"/>
      <c r="U34" s="180"/>
      <c r="V34" s="92"/>
    </row>
    <row r="35" spans="1:22" hidden="1" x14ac:dyDescent="0.2">
      <c r="B35" s="149" t="s">
        <v>181</v>
      </c>
      <c r="C35" s="126"/>
      <c r="D35" s="126"/>
      <c r="E35" s="126"/>
      <c r="F35" s="114"/>
      <c r="G35" s="114"/>
      <c r="H35" s="114"/>
      <c r="I35" s="114"/>
      <c r="J35" s="130"/>
      <c r="K35" s="159"/>
      <c r="L35" s="159"/>
      <c r="M35" s="156"/>
      <c r="N35" s="157"/>
      <c r="O35" s="157"/>
      <c r="P35" s="180"/>
      <c r="Q35" s="180"/>
      <c r="R35" s="180"/>
      <c r="S35" s="180"/>
      <c r="T35" s="180"/>
      <c r="U35" s="180"/>
      <c r="V35" s="92"/>
    </row>
    <row r="36" spans="1:22" ht="25.5" hidden="1" customHeight="1" x14ac:dyDescent="0.2">
      <c r="B36" s="149"/>
      <c r="C36" s="151"/>
      <c r="D36" s="151"/>
      <c r="E36" s="151"/>
      <c r="F36" s="135"/>
      <c r="G36" s="135"/>
      <c r="H36" s="135"/>
      <c r="I36" s="135"/>
      <c r="J36" s="153"/>
      <c r="K36" s="162"/>
      <c r="L36" s="163"/>
      <c r="M36" s="131"/>
      <c r="N36" s="157"/>
      <c r="O36" s="157"/>
      <c r="P36" s="180"/>
      <c r="Q36" s="180"/>
      <c r="R36" s="180"/>
      <c r="S36" s="180"/>
      <c r="T36" s="180"/>
      <c r="U36" s="180"/>
      <c r="V36" s="92"/>
    </row>
    <row r="37" spans="1:22" ht="12.75" hidden="1" x14ac:dyDescent="0.2">
      <c r="A37" s="88" t="s">
        <v>182</v>
      </c>
      <c r="B37" s="149"/>
      <c r="C37" s="126"/>
      <c r="D37" s="126"/>
      <c r="E37" s="126"/>
      <c r="F37" s="114"/>
      <c r="G37" s="114"/>
      <c r="H37" s="114"/>
      <c r="I37" s="114"/>
      <c r="J37" s="130"/>
      <c r="K37" s="159"/>
      <c r="L37" s="159"/>
      <c r="M37" s="156"/>
      <c r="N37" s="157"/>
      <c r="O37" s="157"/>
      <c r="P37" s="180"/>
      <c r="Q37" s="180"/>
      <c r="R37" s="180"/>
      <c r="S37" s="180"/>
      <c r="T37" s="180"/>
      <c r="U37" s="180"/>
      <c r="V37" s="92"/>
    </row>
    <row r="38" spans="1:22" hidden="1" x14ac:dyDescent="0.2">
      <c r="B38" s="149" t="s">
        <v>183</v>
      </c>
      <c r="C38" s="126"/>
      <c r="D38" s="126"/>
      <c r="E38" s="126"/>
      <c r="F38" s="114"/>
      <c r="G38" s="114"/>
      <c r="H38" s="114"/>
      <c r="I38" s="114"/>
      <c r="J38" s="130"/>
      <c r="K38" s="159"/>
      <c r="L38" s="159">
        <v>4</v>
      </c>
      <c r="M38" s="156"/>
      <c r="N38" s="157"/>
      <c r="O38" s="157"/>
      <c r="P38" s="180"/>
      <c r="Q38" s="180"/>
      <c r="R38" s="180"/>
      <c r="S38" s="180"/>
      <c r="T38" s="180"/>
      <c r="U38" s="180"/>
      <c r="V38" s="92"/>
    </row>
    <row r="39" spans="1:22" hidden="1" x14ac:dyDescent="0.2">
      <c r="B39" s="149"/>
      <c r="C39" s="151"/>
      <c r="D39" s="151"/>
      <c r="E39" s="151"/>
      <c r="F39" s="135"/>
      <c r="G39" s="135"/>
      <c r="H39" s="135"/>
      <c r="I39" s="135"/>
      <c r="J39" s="164"/>
      <c r="K39" s="162"/>
      <c r="L39" s="162"/>
      <c r="M39" s="162"/>
      <c r="N39" s="157"/>
      <c r="O39" s="157"/>
      <c r="P39" s="180"/>
      <c r="Q39" s="180"/>
      <c r="R39" s="180"/>
      <c r="S39" s="180"/>
      <c r="T39" s="180"/>
      <c r="U39" s="180"/>
      <c r="V39" s="92"/>
    </row>
    <row r="40" spans="1:22" ht="24" x14ac:dyDescent="0.2">
      <c r="B40" s="149" t="s">
        <v>258</v>
      </c>
      <c r="C40" s="151"/>
      <c r="D40" s="151"/>
      <c r="E40" s="151"/>
      <c r="F40" s="135"/>
      <c r="G40" s="135"/>
      <c r="H40" s="135"/>
      <c r="I40" s="135"/>
      <c r="J40" s="164"/>
      <c r="K40" s="162"/>
      <c r="L40" s="162"/>
      <c r="M40" s="162"/>
      <c r="N40" s="157"/>
      <c r="O40" s="157"/>
      <c r="P40" s="180"/>
      <c r="Q40" s="180"/>
      <c r="R40" s="180"/>
      <c r="S40" s="180"/>
      <c r="T40" s="180"/>
      <c r="U40" s="180"/>
      <c r="V40" s="92">
        <v>1</v>
      </c>
    </row>
    <row r="41" spans="1:22" x14ac:dyDescent="0.2">
      <c r="B41" s="149" t="s">
        <v>259</v>
      </c>
      <c r="C41" s="151"/>
      <c r="D41" s="151"/>
      <c r="E41" s="151"/>
      <c r="F41" s="135"/>
      <c r="G41" s="135"/>
      <c r="H41" s="135"/>
      <c r="I41" s="135"/>
      <c r="J41" s="164"/>
      <c r="K41" s="162"/>
      <c r="L41" s="162"/>
      <c r="M41" s="162"/>
      <c r="N41" s="157"/>
      <c r="O41" s="157"/>
      <c r="P41" s="180"/>
      <c r="Q41" s="180"/>
      <c r="R41" s="180"/>
      <c r="S41" s="180">
        <v>2</v>
      </c>
      <c r="T41" s="180"/>
      <c r="U41" s="180"/>
      <c r="V41" s="92"/>
    </row>
    <row r="42" spans="1:22" x14ac:dyDescent="0.2">
      <c r="B42" s="149" t="s">
        <v>260</v>
      </c>
      <c r="C42" s="151"/>
      <c r="D42" s="151"/>
      <c r="E42" s="151"/>
      <c r="F42" s="135"/>
      <c r="G42" s="135"/>
      <c r="H42" s="135"/>
      <c r="I42" s="135"/>
      <c r="J42" s="164"/>
      <c r="K42" s="162"/>
      <c r="L42" s="162"/>
      <c r="M42" s="162"/>
      <c r="N42" s="157"/>
      <c r="O42" s="157"/>
      <c r="P42" s="180"/>
      <c r="Q42" s="180"/>
      <c r="R42" s="180"/>
      <c r="S42" s="180">
        <v>1</v>
      </c>
      <c r="T42" s="180"/>
      <c r="U42" s="180"/>
      <c r="V42" s="92"/>
    </row>
    <row r="43" spans="1:22" x14ac:dyDescent="0.2">
      <c r="B43" s="149" t="s">
        <v>251</v>
      </c>
      <c r="C43" s="126"/>
      <c r="D43" s="126"/>
      <c r="E43" s="126"/>
      <c r="F43" s="114"/>
      <c r="G43" s="114"/>
      <c r="H43" s="114"/>
      <c r="I43" s="114"/>
      <c r="J43" s="130"/>
      <c r="K43" s="159"/>
      <c r="L43" s="159"/>
      <c r="M43" s="156"/>
      <c r="N43" s="157"/>
      <c r="O43" s="157"/>
      <c r="P43" s="180"/>
      <c r="Q43" s="180"/>
      <c r="R43" s="180"/>
      <c r="S43" s="180">
        <v>1</v>
      </c>
      <c r="T43" s="180"/>
      <c r="U43" s="180"/>
      <c r="V43" s="92"/>
    </row>
    <row r="44" spans="1:22" x14ac:dyDescent="0.2">
      <c r="B44" s="149" t="s">
        <v>184</v>
      </c>
      <c r="C44" s="151"/>
      <c r="D44" s="151"/>
      <c r="E44" s="151"/>
      <c r="F44" s="135"/>
      <c r="G44" s="135"/>
      <c r="H44" s="135"/>
      <c r="I44" s="135"/>
      <c r="J44" s="164"/>
      <c r="K44" s="162"/>
      <c r="L44" s="162"/>
      <c r="M44" s="165"/>
      <c r="N44" s="157"/>
      <c r="O44" s="157"/>
      <c r="P44" s="180"/>
      <c r="Q44" s="180">
        <v>1</v>
      </c>
      <c r="R44" s="180"/>
      <c r="S44" s="180"/>
      <c r="T44" s="180"/>
      <c r="U44" s="180"/>
      <c r="V44" s="92"/>
    </row>
    <row r="45" spans="1:22" ht="15" customHeight="1" x14ac:dyDescent="0.2">
      <c r="B45" s="149" t="s">
        <v>185</v>
      </c>
      <c r="C45" s="151"/>
      <c r="D45" s="151"/>
      <c r="E45" s="151"/>
      <c r="F45" s="135"/>
      <c r="G45" s="135"/>
      <c r="H45" s="135"/>
      <c r="I45" s="135"/>
      <c r="J45" s="164"/>
      <c r="K45" s="162"/>
      <c r="L45" s="162"/>
      <c r="M45" s="165"/>
      <c r="N45" s="157"/>
      <c r="O45" s="157"/>
      <c r="P45" s="180"/>
      <c r="Q45" s="180"/>
      <c r="R45" s="180"/>
      <c r="S45" s="180">
        <v>1</v>
      </c>
      <c r="T45" s="180"/>
      <c r="U45" s="180"/>
      <c r="V45" s="92"/>
    </row>
    <row r="46" spans="1:22" x14ac:dyDescent="0.2">
      <c r="B46" s="149" t="s">
        <v>186</v>
      </c>
      <c r="C46" s="151"/>
      <c r="D46" s="151"/>
      <c r="E46" s="151"/>
      <c r="F46" s="135"/>
      <c r="G46" s="135"/>
      <c r="H46" s="135"/>
      <c r="I46" s="135"/>
      <c r="J46" s="164"/>
      <c r="K46" s="162"/>
      <c r="L46" s="162"/>
      <c r="M46" s="165"/>
      <c r="N46" s="157"/>
      <c r="O46" s="157"/>
      <c r="P46" s="180"/>
      <c r="Q46" s="180">
        <v>2</v>
      </c>
      <c r="R46" s="180"/>
      <c r="S46" s="180"/>
      <c r="T46" s="180"/>
      <c r="U46" s="180"/>
      <c r="V46" s="92"/>
    </row>
    <row r="47" spans="1:22" ht="26.25" customHeight="1" x14ac:dyDescent="0.2">
      <c r="B47" s="149" t="s">
        <v>187</v>
      </c>
      <c r="C47" s="151"/>
      <c r="D47" s="151"/>
      <c r="E47" s="151"/>
      <c r="F47" s="135"/>
      <c r="G47" s="135"/>
      <c r="H47" s="135"/>
      <c r="I47" s="135"/>
      <c r="J47" s="164"/>
      <c r="K47" s="162"/>
      <c r="L47" s="162"/>
      <c r="M47" s="165"/>
      <c r="N47" s="157"/>
      <c r="O47" s="157"/>
      <c r="P47" s="180"/>
      <c r="Q47" s="180"/>
      <c r="R47" s="180"/>
      <c r="S47" s="180">
        <v>1</v>
      </c>
      <c r="T47" s="180"/>
      <c r="U47" s="180"/>
      <c r="V47" s="92"/>
    </row>
    <row r="48" spans="1:22" ht="15.75" customHeight="1" x14ac:dyDescent="0.2">
      <c r="B48" s="149" t="s">
        <v>188</v>
      </c>
      <c r="C48" s="151"/>
      <c r="D48" s="151"/>
      <c r="E48" s="151"/>
      <c r="F48" s="135"/>
      <c r="G48" s="135"/>
      <c r="H48" s="135"/>
      <c r="I48" s="135"/>
      <c r="J48" s="164"/>
      <c r="K48" s="162"/>
      <c r="L48" s="162"/>
      <c r="M48" s="165"/>
      <c r="N48" s="157">
        <v>23</v>
      </c>
      <c r="O48" s="157"/>
      <c r="P48" s="180"/>
      <c r="Q48" s="180">
        <v>1</v>
      </c>
      <c r="R48" s="180"/>
      <c r="S48" s="180"/>
      <c r="T48" s="180"/>
      <c r="U48" s="180"/>
      <c r="V48" s="92"/>
    </row>
    <row r="49" spans="2:22" hidden="1" x14ac:dyDescent="0.2">
      <c r="B49" s="166"/>
      <c r="C49" s="151"/>
      <c r="D49" s="151"/>
      <c r="E49" s="151"/>
      <c r="F49" s="135"/>
      <c r="G49" s="135"/>
      <c r="H49" s="135"/>
      <c r="I49" s="135"/>
      <c r="J49" s="164"/>
      <c r="K49" s="162"/>
      <c r="L49" s="162">
        <v>4</v>
      </c>
      <c r="M49" s="165">
        <v>4</v>
      </c>
      <c r="N49" s="165"/>
      <c r="O49" s="131"/>
      <c r="P49" s="181"/>
      <c r="Q49" s="181"/>
      <c r="R49" s="181"/>
      <c r="S49" s="181"/>
      <c r="T49" s="180"/>
      <c r="U49" s="180"/>
      <c r="V49" s="92"/>
    </row>
    <row r="50" spans="2:22" ht="16.5" hidden="1" customHeight="1" x14ac:dyDescent="0.2">
      <c r="B50" s="167" t="s">
        <v>189</v>
      </c>
      <c r="C50" s="168" t="s">
        <v>31</v>
      </c>
      <c r="D50" s="169"/>
      <c r="E50" s="138"/>
      <c r="F50" s="170"/>
      <c r="G50" s="108">
        <f t="shared" ref="G50:O50" si="2">SUM(G51:G51)</f>
        <v>0</v>
      </c>
      <c r="H50" s="108">
        <f t="shared" si="2"/>
        <v>0</v>
      </c>
      <c r="I50" s="108">
        <f t="shared" si="2"/>
        <v>0</v>
      </c>
      <c r="J50" s="108">
        <f t="shared" si="2"/>
        <v>0</v>
      </c>
      <c r="K50" s="108">
        <f t="shared" si="2"/>
        <v>0</v>
      </c>
      <c r="L50" s="108">
        <f t="shared" si="2"/>
        <v>0</v>
      </c>
      <c r="M50" s="109">
        <f t="shared" si="2"/>
        <v>0</v>
      </c>
      <c r="N50" s="171">
        <f t="shared" si="2"/>
        <v>0</v>
      </c>
      <c r="O50" s="109">
        <f t="shared" si="2"/>
        <v>0</v>
      </c>
      <c r="P50" s="182"/>
      <c r="Q50" s="355"/>
      <c r="R50" s="355"/>
      <c r="S50" s="355"/>
      <c r="T50" s="180"/>
      <c r="U50" s="180"/>
      <c r="V50" s="92"/>
    </row>
    <row r="51" spans="2:22" ht="28.5" hidden="1" customHeight="1" x14ac:dyDescent="0.2">
      <c r="B51" s="166"/>
      <c r="C51" s="142"/>
      <c r="D51" s="142"/>
      <c r="E51" s="142"/>
      <c r="F51" s="144"/>
      <c r="G51" s="144"/>
      <c r="H51" s="144"/>
      <c r="I51" s="144"/>
      <c r="J51" s="172"/>
      <c r="K51" s="173"/>
      <c r="L51" s="174"/>
      <c r="M51" s="132"/>
      <c r="N51" s="175"/>
      <c r="O51" s="131"/>
      <c r="P51" s="181"/>
      <c r="Q51" s="181"/>
      <c r="R51" s="181"/>
      <c r="S51" s="183"/>
      <c r="T51" s="181"/>
      <c r="U51" s="181"/>
      <c r="V51" s="92"/>
    </row>
    <row r="52" spans="2:22" ht="16.5" customHeight="1" x14ac:dyDescent="0.2">
      <c r="B52" s="149" t="s">
        <v>190</v>
      </c>
      <c r="C52" s="142"/>
      <c r="D52" s="142"/>
      <c r="E52" s="142"/>
      <c r="F52" s="144"/>
      <c r="G52" s="144"/>
      <c r="H52" s="144"/>
      <c r="I52" s="144"/>
      <c r="J52" s="172"/>
      <c r="K52" s="173"/>
      <c r="L52" s="174"/>
      <c r="M52" s="132"/>
      <c r="N52" s="175"/>
      <c r="O52" s="131"/>
      <c r="P52" s="181"/>
      <c r="Q52" s="181"/>
      <c r="R52" s="181">
        <v>1</v>
      </c>
      <c r="S52" s="183"/>
      <c r="T52" s="181"/>
      <c r="U52" s="181"/>
      <c r="V52" s="92"/>
    </row>
    <row r="53" spans="2:22" ht="28.5" customHeight="1" x14ac:dyDescent="0.2">
      <c r="B53" s="149" t="s">
        <v>191</v>
      </c>
      <c r="C53" s="126"/>
      <c r="D53" s="126"/>
      <c r="E53" s="126"/>
      <c r="F53" s="114"/>
      <c r="G53" s="114"/>
      <c r="H53" s="114"/>
      <c r="I53" s="114"/>
      <c r="J53" s="130"/>
      <c r="K53" s="115"/>
      <c r="L53" s="159"/>
      <c r="M53" s="92"/>
      <c r="N53" s="121"/>
      <c r="O53" s="156"/>
      <c r="P53" s="353"/>
      <c r="Q53" s="353"/>
      <c r="R53" s="353"/>
      <c r="S53" s="353"/>
      <c r="T53" s="353"/>
      <c r="U53" s="353">
        <v>1</v>
      </c>
      <c r="V53" s="92"/>
    </row>
    <row r="54" spans="2:22" ht="28.5" customHeight="1" thickBot="1" x14ac:dyDescent="0.25">
      <c r="B54" s="166" t="s">
        <v>252</v>
      </c>
      <c r="C54" s="126"/>
      <c r="D54" s="126"/>
      <c r="E54" s="126"/>
      <c r="F54" s="114"/>
      <c r="G54" s="114"/>
      <c r="H54" s="114"/>
      <c r="I54" s="114"/>
      <c r="J54" s="130"/>
      <c r="K54" s="115"/>
      <c r="L54" s="159"/>
      <c r="M54" s="92"/>
      <c r="N54" s="121"/>
      <c r="O54" s="156"/>
      <c r="P54" s="353"/>
      <c r="Q54" s="357"/>
      <c r="R54" s="357"/>
      <c r="S54" s="357"/>
      <c r="T54" s="357">
        <v>1</v>
      </c>
      <c r="U54" s="357"/>
      <c r="V54" s="124"/>
    </row>
    <row r="55" spans="2:22" ht="18" customHeight="1" thickBot="1" x14ac:dyDescent="0.3">
      <c r="B55" s="361" t="s">
        <v>164</v>
      </c>
      <c r="C55" s="307"/>
      <c r="D55" s="308" t="e">
        <f t="shared" ref="D55:J55" si="3">D3+D15+D50</f>
        <v>#REF!</v>
      </c>
      <c r="E55" s="308" t="e">
        <f t="shared" si="3"/>
        <v>#REF!</v>
      </c>
      <c r="F55" s="308" t="e">
        <f t="shared" si="3"/>
        <v>#REF!</v>
      </c>
      <c r="G55" s="308" t="e">
        <f t="shared" si="3"/>
        <v>#REF!</v>
      </c>
      <c r="H55" s="308" t="e">
        <f t="shared" si="3"/>
        <v>#REF!</v>
      </c>
      <c r="I55" s="308" t="e">
        <f t="shared" si="3"/>
        <v>#REF!</v>
      </c>
      <c r="J55" s="309" t="e">
        <f t="shared" si="3"/>
        <v>#REF!</v>
      </c>
      <c r="K55" s="310" t="e">
        <f>K3+K15+K50+#REF!</f>
        <v>#REF!</v>
      </c>
      <c r="L55" s="310" t="e">
        <f>L3+L15+L50+#REF!</f>
        <v>#REF!</v>
      </c>
      <c r="M55" s="310">
        <f>M3+M15+M50</f>
        <v>102.93299999999999</v>
      </c>
      <c r="N55" s="310">
        <f t="shared" ref="N55:V55" si="4">N3+N15</f>
        <v>227.80700000000002</v>
      </c>
      <c r="O55" s="310">
        <f t="shared" si="4"/>
        <v>53.449999999999996</v>
      </c>
      <c r="P55" s="310">
        <f t="shared" si="4"/>
        <v>0</v>
      </c>
      <c r="Q55" s="358">
        <f t="shared" si="4"/>
        <v>5</v>
      </c>
      <c r="R55" s="358">
        <f t="shared" si="4"/>
        <v>3</v>
      </c>
      <c r="S55" s="358">
        <f t="shared" si="4"/>
        <v>11</v>
      </c>
      <c r="T55" s="359">
        <f t="shared" si="4"/>
        <v>11</v>
      </c>
      <c r="U55" s="359">
        <f t="shared" si="4"/>
        <v>3</v>
      </c>
      <c r="V55" s="360">
        <f t="shared" si="4"/>
        <v>2</v>
      </c>
    </row>
    <row r="57" spans="2:22" ht="15" x14ac:dyDescent="0.25">
      <c r="B57" s="177"/>
    </row>
    <row r="58" spans="2:22" ht="15" x14ac:dyDescent="0.25">
      <c r="B58" s="179"/>
    </row>
  </sheetData>
  <phoneticPr fontId="0" type="noConversion"/>
  <pageMargins left="0.25" right="0.25" top="0.75" bottom="0.75" header="0.3" footer="0.3"/>
  <pageSetup paperSize="9" orientation="portrait" r:id="rId1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ПРОГНОЗ</vt:lpstr>
      <vt:lpstr>Дефлятор базовый</vt:lpstr>
      <vt:lpstr>Ввод новых ОФ</vt:lpstr>
      <vt:lpstr>Сроки ввода</vt:lpstr>
      <vt:lpstr>ПРОГНОЗ!Заголовки_для_печати</vt:lpstr>
      <vt:lpstr>ПРОГНОЗ!Область_печати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министра экономического развития и КП</dc:creator>
  <cp:lastModifiedBy>Школа 92</cp:lastModifiedBy>
  <cp:lastPrinted>2024-06-26T12:52:51Z</cp:lastPrinted>
  <dcterms:created xsi:type="dcterms:W3CDTF">2001-06-14T10:07:03Z</dcterms:created>
  <dcterms:modified xsi:type="dcterms:W3CDTF">2024-06-26T12:53:11Z</dcterms:modified>
</cp:coreProperties>
</file>