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ена\2025 год\ПРОГНОЗ СОЦИАЛЬНО ЭКОНОМИЧЕСКОГО РАЗВИТИЯ\Прогноз в область\"/>
    </mc:Choice>
  </mc:AlternateContent>
  <xr:revisionPtr revIDLastSave="0" documentId="13_ncr:1_{643F9BC9-6C15-4F51-B5D5-0B53311CA2A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ПРОГНОЗ" sheetId="1" r:id="rId1"/>
    <sheet name="Дефлятор базовый" sheetId="2" r:id="rId2"/>
    <sheet name="Дефлятор консервативный" sheetId="3" r:id="rId3"/>
    <sheet name="Ввод новых ОФ" sheetId="6" r:id="rId4"/>
    <sheet name="Сроки ввода" sheetId="5" r:id="rId5"/>
  </sheets>
  <externalReferences>
    <externalReference r:id="rId6"/>
  </externalReferences>
  <definedNames>
    <definedName name="_xlnm.Print_Titles" localSheetId="0">ПРОГНОЗ!$3:$5</definedName>
    <definedName name="_xlnm.Print_Area" localSheetId="0">ПРОГНОЗ!$A$1:$K$205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8" i="1" l="1"/>
  <c r="H158" i="1" l="1"/>
  <c r="F158" i="1" l="1"/>
  <c r="U18" i="6"/>
  <c r="K164" i="1" l="1"/>
  <c r="J164" i="1" s="1"/>
  <c r="I164" i="1"/>
  <c r="H164" i="1" s="1"/>
  <c r="E164" i="1"/>
  <c r="D164" i="1"/>
  <c r="C164" i="1"/>
  <c r="K161" i="1"/>
  <c r="J161" i="1" s="1"/>
  <c r="I161" i="1"/>
  <c r="H161" i="1" s="1"/>
  <c r="G161" i="1"/>
  <c r="F161" i="1" s="1"/>
  <c r="E161" i="1"/>
  <c r="D161" i="1"/>
  <c r="C161" i="1"/>
  <c r="F201" i="1" l="1"/>
  <c r="D201" i="1"/>
  <c r="E201" i="1" l="1"/>
  <c r="G201" i="1"/>
  <c r="F154" i="1"/>
  <c r="F155" i="1" s="1"/>
  <c r="G155" i="1"/>
  <c r="J154" i="1"/>
  <c r="I201" i="1" l="1"/>
  <c r="E169" i="1"/>
  <c r="D169" i="1"/>
  <c r="D171" i="1"/>
  <c r="J201" i="1"/>
  <c r="H201" i="1"/>
  <c r="H155" i="1"/>
  <c r="J155" i="1"/>
  <c r="K201" i="1" l="1"/>
  <c r="E171" i="1"/>
  <c r="F169" i="1"/>
  <c r="F171" i="1"/>
  <c r="G169" i="1"/>
  <c r="G171" i="1"/>
  <c r="J40" i="1"/>
  <c r="F40" i="1"/>
  <c r="H40" i="1"/>
  <c r="H171" i="1" l="1"/>
  <c r="H169" i="1"/>
  <c r="I171" i="1"/>
  <c r="I169" i="1"/>
  <c r="J171" i="1" l="1"/>
  <c r="J169" i="1"/>
  <c r="K169" i="1"/>
  <c r="K171" i="1"/>
  <c r="H107" i="1"/>
  <c r="F107" i="1"/>
  <c r="G108" i="1"/>
  <c r="F108" i="1" s="1"/>
  <c r="K107" i="1"/>
  <c r="J107" i="1" s="1"/>
  <c r="F106" i="1"/>
  <c r="J105" i="1"/>
  <c r="H105" i="1"/>
  <c r="G99" i="1"/>
  <c r="I99" i="1" s="1"/>
  <c r="G96" i="1"/>
  <c r="I108" i="1" l="1"/>
  <c r="H108" i="1" s="1"/>
  <c r="H99" i="1"/>
  <c r="K99" i="1"/>
  <c r="J99" i="1" s="1"/>
  <c r="F99" i="1"/>
  <c r="K108" i="1" l="1"/>
  <c r="J108" i="1" s="1"/>
  <c r="H100" i="1"/>
  <c r="J100" i="1"/>
  <c r="I96" i="1" l="1"/>
  <c r="F96" i="1"/>
  <c r="H96" i="1" l="1"/>
  <c r="K96" i="1"/>
  <c r="J96" i="1" s="1"/>
  <c r="J97" i="1" l="1"/>
  <c r="H97" i="1"/>
  <c r="G85" i="1"/>
  <c r="I85" i="1" s="1"/>
  <c r="K85" i="1" s="1"/>
  <c r="E19" i="1"/>
  <c r="G19" i="1" s="1"/>
  <c r="I19" i="1" l="1"/>
  <c r="F19" i="1"/>
  <c r="G34" i="1"/>
  <c r="K19" i="1" l="1"/>
  <c r="J19" i="1" s="1"/>
  <c r="H19" i="1"/>
  <c r="I34" i="1"/>
  <c r="H34" i="1" s="1"/>
  <c r="K34" i="1" l="1"/>
  <c r="J34" i="1" s="1"/>
  <c r="H41" i="1" l="1"/>
  <c r="F41" i="1"/>
  <c r="J41" i="1" l="1"/>
  <c r="E178" i="1" l="1"/>
  <c r="F178" i="1" s="1"/>
  <c r="H178" i="1" s="1"/>
  <c r="J178" i="1" s="1"/>
  <c r="G178" i="1" l="1"/>
  <c r="I178" i="1" s="1"/>
  <c r="K178" i="1" s="1"/>
  <c r="J129" i="1"/>
  <c r="H129" i="1"/>
  <c r="F129" i="1"/>
  <c r="J128" i="1" l="1"/>
  <c r="H128" i="1"/>
  <c r="F128" i="1"/>
  <c r="J127" i="1"/>
  <c r="H127" i="1"/>
  <c r="F127" i="1"/>
  <c r="G126" i="1"/>
  <c r="F126" i="1" s="1"/>
  <c r="F124" i="1"/>
  <c r="H124" i="1" s="1"/>
  <c r="J124" i="1" s="1"/>
  <c r="G124" i="1"/>
  <c r="K124" i="1"/>
  <c r="I126" i="1" l="1"/>
  <c r="H126" i="1" l="1"/>
  <c r="K126" i="1"/>
  <c r="J126" i="1" s="1"/>
  <c r="D34" i="1"/>
  <c r="E34" i="1"/>
  <c r="C34" i="1"/>
  <c r="F34" i="1" l="1"/>
  <c r="J35" i="1"/>
  <c r="F35" i="1" l="1"/>
  <c r="H35" i="1"/>
  <c r="J88" i="1" l="1"/>
  <c r="H88" i="1"/>
  <c r="J85" i="1"/>
  <c r="H85" i="1"/>
  <c r="J28" i="1"/>
  <c r="H28" i="1"/>
  <c r="J22" i="1"/>
  <c r="H22" i="1"/>
  <c r="F85" i="1" l="1"/>
  <c r="J115" i="1" l="1"/>
  <c r="H115" i="1"/>
  <c r="F115" i="1"/>
  <c r="J114" i="1"/>
  <c r="H114" i="1"/>
  <c r="F114" i="1"/>
  <c r="J118" i="1"/>
  <c r="H118" i="1"/>
  <c r="F118" i="1"/>
  <c r="D116" i="1"/>
  <c r="G116" i="1" s="1"/>
  <c r="I116" i="1" s="1"/>
  <c r="D117" i="1"/>
  <c r="E117" i="1" s="1"/>
  <c r="G117" i="1" s="1"/>
  <c r="E116" i="1" l="1"/>
  <c r="K116" i="1"/>
  <c r="J116" i="1" s="1"/>
  <c r="H116" i="1"/>
  <c r="F116" i="1"/>
  <c r="F117" i="1"/>
  <c r="I117" i="1"/>
  <c r="H117" i="1" l="1"/>
  <c r="K117" i="1"/>
  <c r="J117" i="1" s="1"/>
  <c r="F88" i="1" l="1"/>
  <c r="F20" i="1" l="1"/>
  <c r="J20" i="1"/>
  <c r="H20" i="1" l="1"/>
  <c r="F22" i="1"/>
  <c r="H23" i="1" s="1"/>
  <c r="F23" i="1" l="1"/>
  <c r="J23" i="1"/>
  <c r="F28" i="1" l="1"/>
  <c r="J29" i="1" l="1"/>
  <c r="H29" i="1"/>
  <c r="F29" i="1"/>
  <c r="J157" i="1" l="1"/>
  <c r="F157" i="1"/>
  <c r="H157" i="1"/>
  <c r="K191" i="1" l="1"/>
  <c r="J191" i="1"/>
  <c r="I191" i="1"/>
  <c r="H191" i="1"/>
  <c r="G191" i="1"/>
  <c r="F191" i="1"/>
  <c r="E191" i="1"/>
  <c r="D191" i="1"/>
  <c r="C191" i="1"/>
  <c r="K189" i="1"/>
  <c r="J189" i="1"/>
  <c r="I189" i="1"/>
  <c r="H189" i="1"/>
  <c r="G189" i="1"/>
  <c r="F189" i="1"/>
  <c r="E189" i="1"/>
  <c r="D189" i="1"/>
  <c r="C189" i="1"/>
  <c r="W16" i="5" l="1"/>
  <c r="W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D1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E40" i="5" s="1"/>
  <c r="D6" i="5"/>
  <c r="D40" i="5" l="1"/>
  <c r="I40" i="5"/>
  <c r="M40" i="5"/>
  <c r="Q40" i="5"/>
  <c r="U40" i="5"/>
  <c r="W40" i="5"/>
  <c r="G40" i="5"/>
  <c r="K40" i="5"/>
  <c r="O40" i="5"/>
  <c r="S40" i="5"/>
  <c r="H40" i="5"/>
  <c r="L40" i="5"/>
  <c r="P40" i="5"/>
  <c r="T40" i="5"/>
  <c r="F40" i="5"/>
  <c r="J40" i="5"/>
  <c r="N40" i="5"/>
  <c r="R40" i="5"/>
  <c r="V40" i="5"/>
  <c r="W16" i="6"/>
  <c r="W6" i="6"/>
  <c r="S16" i="6"/>
  <c r="R16" i="6"/>
  <c r="Q16" i="6"/>
  <c r="P16" i="6"/>
  <c r="V16" i="6"/>
  <c r="U16" i="6"/>
  <c r="T16" i="6"/>
  <c r="O16" i="6"/>
  <c r="N16" i="6"/>
  <c r="M16" i="6"/>
  <c r="L16" i="6"/>
  <c r="K16" i="6"/>
  <c r="J16" i="6"/>
  <c r="I16" i="6"/>
  <c r="H16" i="6"/>
  <c r="G16" i="6"/>
  <c r="F16" i="6"/>
  <c r="D1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E40" i="6" s="1"/>
  <c r="D6" i="6"/>
  <c r="I40" i="6" l="1"/>
  <c r="M40" i="6"/>
  <c r="Q40" i="6"/>
  <c r="U40" i="6"/>
  <c r="G164" i="1" s="1"/>
  <c r="F164" i="1" s="1"/>
  <c r="W40" i="6"/>
  <c r="G40" i="6"/>
  <c r="K40" i="6"/>
  <c r="O40" i="6"/>
  <c r="S40" i="6"/>
  <c r="D40" i="6"/>
  <c r="H40" i="6"/>
  <c r="L40" i="6"/>
  <c r="P40" i="6"/>
  <c r="T40" i="6"/>
  <c r="F40" i="6"/>
  <c r="J40" i="6"/>
  <c r="N40" i="6"/>
  <c r="R40" i="6"/>
  <c r="V40" i="6"/>
  <c r="J113" i="1" l="1"/>
  <c r="H113" i="1"/>
  <c r="F113" i="1"/>
  <c r="J89" i="1" l="1"/>
  <c r="H89" i="1"/>
  <c r="F89" i="1"/>
  <c r="J86" i="1"/>
  <c r="H86" i="1"/>
  <c r="F86" i="1"/>
  <c r="G159" i="1" l="1"/>
  <c r="F100" i="1"/>
  <c r="F97" i="1"/>
  <c r="J160" i="1"/>
  <c r="J159" i="1" s="1"/>
  <c r="H160" i="1"/>
  <c r="H159" i="1" s="1"/>
  <c r="F160" i="1"/>
  <c r="F159" i="1" s="1"/>
  <c r="K160" i="1"/>
  <c r="K159" i="1" s="1"/>
  <c r="I160" i="1"/>
  <c r="I159" i="1" s="1"/>
  <c r="G160" i="1"/>
  <c r="E160" i="1"/>
  <c r="E159" i="1" s="1"/>
  <c r="D160" i="1"/>
  <c r="D159" i="1" s="1"/>
  <c r="J94" i="1" l="1"/>
  <c r="H94" i="1"/>
  <c r="F94" i="1"/>
  <c r="K101" i="1"/>
  <c r="K100" i="1" s="1"/>
  <c r="I101" i="1"/>
  <c r="I100" i="1" s="1"/>
  <c r="G101" i="1"/>
  <c r="G100" i="1" s="1"/>
  <c r="E101" i="1"/>
  <c r="E100" i="1" s="1"/>
  <c r="D101" i="1"/>
  <c r="D100" i="1" s="1"/>
  <c r="K98" i="1"/>
  <c r="K97" i="1" s="1"/>
  <c r="I98" i="1"/>
  <c r="I97" i="1" s="1"/>
  <c r="G98" i="1"/>
  <c r="G97" i="1" s="1"/>
  <c r="E98" i="1"/>
  <c r="E97" i="1" s="1"/>
  <c r="D98" i="1"/>
  <c r="D97" i="1" s="1"/>
  <c r="K92" i="1"/>
  <c r="J92" i="1"/>
  <c r="I92" i="1"/>
  <c r="H92" i="1"/>
  <c r="G92" i="1"/>
  <c r="F92" i="1"/>
  <c r="E92" i="1"/>
  <c r="D92" i="1"/>
  <c r="C92" i="1"/>
  <c r="K94" i="1"/>
  <c r="I94" i="1"/>
  <c r="G94" i="1"/>
  <c r="E94" i="1"/>
  <c r="D94" i="1"/>
  <c r="D7" i="1"/>
  <c r="D12" i="1" s="1"/>
  <c r="K156" i="1"/>
  <c r="K155" i="1" s="1"/>
  <c r="I156" i="1"/>
  <c r="I155" i="1" s="1"/>
  <c r="G156" i="1"/>
  <c r="E156" i="1"/>
  <c r="E155" i="1" s="1"/>
  <c r="D156" i="1"/>
  <c r="D155" i="1" s="1"/>
  <c r="K180" i="1"/>
  <c r="J180" i="1"/>
  <c r="I180" i="1"/>
  <c r="H180" i="1"/>
  <c r="G180" i="1"/>
  <c r="F180" i="1"/>
  <c r="E180" i="1"/>
  <c r="D180" i="1"/>
  <c r="C180" i="1"/>
  <c r="K195" i="1"/>
  <c r="J195" i="1"/>
  <c r="I195" i="1"/>
  <c r="H195" i="1"/>
  <c r="G195" i="1"/>
  <c r="F195" i="1"/>
  <c r="E195" i="1"/>
  <c r="D195" i="1"/>
  <c r="C195" i="1"/>
  <c r="K193" i="1"/>
  <c r="J193" i="1"/>
  <c r="I193" i="1"/>
  <c r="H193" i="1"/>
  <c r="G193" i="1"/>
  <c r="F193" i="1"/>
  <c r="K179" i="1"/>
  <c r="J179" i="1"/>
  <c r="I179" i="1"/>
  <c r="H179" i="1"/>
  <c r="D179" i="1"/>
  <c r="C192" i="1"/>
  <c r="J93" i="1" l="1"/>
  <c r="I93" i="1"/>
  <c r="K93" i="1"/>
  <c r="H93" i="1"/>
  <c r="D93" i="1"/>
  <c r="E7" i="1"/>
  <c r="F93" i="1"/>
  <c r="E93" i="1"/>
  <c r="G93" i="1"/>
  <c r="G179" i="1"/>
  <c r="E179" i="1"/>
  <c r="F179" i="1"/>
  <c r="G7" i="1" l="1"/>
  <c r="D192" i="1"/>
  <c r="D186" i="1" s="1"/>
  <c r="D187" i="1" s="1"/>
  <c r="K186" i="1"/>
  <c r="J186" i="1"/>
  <c r="I186" i="1"/>
  <c r="H186" i="1"/>
  <c r="G186" i="1"/>
  <c r="F186" i="1"/>
  <c r="E186" i="1"/>
  <c r="F175" i="1"/>
  <c r="D175" i="1"/>
  <c r="C173" i="1"/>
  <c r="J187" i="1" l="1"/>
  <c r="K187" i="1"/>
  <c r="G187" i="1"/>
  <c r="F187" i="1"/>
  <c r="H187" i="1"/>
  <c r="E193" i="1"/>
  <c r="D193" i="1"/>
  <c r="F7" i="1"/>
  <c r="I7" i="1"/>
  <c r="G175" i="1"/>
  <c r="E187" i="1"/>
  <c r="I187" i="1"/>
  <c r="E175" i="1"/>
  <c r="I175" i="1" l="1"/>
  <c r="H175" i="1"/>
  <c r="K7" i="1"/>
  <c r="H7" i="1"/>
  <c r="K175" i="1" l="1"/>
  <c r="J175" i="1"/>
  <c r="J7" i="1"/>
  <c r="J151" i="1" l="1"/>
  <c r="H151" i="1"/>
  <c r="F151" i="1"/>
  <c r="J148" i="1"/>
  <c r="H148" i="1"/>
  <c r="F148" i="1"/>
  <c r="H147" i="1" l="1"/>
  <c r="F147" i="1"/>
  <c r="J147" i="1" l="1"/>
  <c r="K151" i="1"/>
  <c r="I151" i="1"/>
  <c r="G151" i="1"/>
  <c r="G150" i="1" s="1"/>
  <c r="E151" i="1"/>
  <c r="E150" i="1" s="1"/>
  <c r="D151" i="1"/>
  <c r="D150" i="1" s="1"/>
  <c r="K148" i="1"/>
  <c r="K147" i="1" s="1"/>
  <c r="I148" i="1"/>
  <c r="I147" i="1" s="1"/>
  <c r="G148" i="1"/>
  <c r="G147" i="1" s="1"/>
  <c r="E148" i="1"/>
  <c r="E147" i="1" s="1"/>
  <c r="D148" i="1"/>
  <c r="D147" i="1" s="1"/>
  <c r="I150" i="1" l="1"/>
  <c r="F150" i="1"/>
  <c r="K16" i="1"/>
  <c r="K15" i="1" s="1"/>
  <c r="J16" i="1"/>
  <c r="J15" i="1" s="1"/>
  <c r="I16" i="1"/>
  <c r="H16" i="1"/>
  <c r="G16" i="1"/>
  <c r="G15" i="1" s="1"/>
  <c r="F16" i="1"/>
  <c r="F15" i="1" s="1"/>
  <c r="E16" i="1"/>
  <c r="D16" i="1"/>
  <c r="C16" i="1"/>
  <c r="C15" i="1" s="1"/>
  <c r="K90" i="1"/>
  <c r="K89" i="1" s="1"/>
  <c r="I90" i="1"/>
  <c r="I89" i="1" s="1"/>
  <c r="G90" i="1"/>
  <c r="G89" i="1" s="1"/>
  <c r="E90" i="1"/>
  <c r="E89" i="1" s="1"/>
  <c r="D90" i="1"/>
  <c r="D89" i="1" s="1"/>
  <c r="K87" i="1"/>
  <c r="K86" i="1" s="1"/>
  <c r="I87" i="1"/>
  <c r="I86" i="1" s="1"/>
  <c r="G87" i="1"/>
  <c r="G86" i="1" s="1"/>
  <c r="E87" i="1"/>
  <c r="E86" i="1" s="1"/>
  <c r="D87" i="1"/>
  <c r="D86" i="1" s="1"/>
  <c r="K42" i="1"/>
  <c r="K41" i="1" s="1"/>
  <c r="I42" i="1"/>
  <c r="I41" i="1" s="1"/>
  <c r="G42" i="1"/>
  <c r="G41" i="1" s="1"/>
  <c r="E42" i="1"/>
  <c r="E41" i="1" s="1"/>
  <c r="D42" i="1"/>
  <c r="D41" i="1" s="1"/>
  <c r="K36" i="1"/>
  <c r="K35" i="1" s="1"/>
  <c r="I36" i="1"/>
  <c r="I35" i="1" s="1"/>
  <c r="G36" i="1"/>
  <c r="G35" i="1" s="1"/>
  <c r="E36" i="1"/>
  <c r="E35" i="1" s="1"/>
  <c r="D36" i="1"/>
  <c r="D35" i="1" s="1"/>
  <c r="K30" i="1"/>
  <c r="K29" i="1" s="1"/>
  <c r="I30" i="1"/>
  <c r="I29" i="1" s="1"/>
  <c r="G30" i="1"/>
  <c r="E30" i="1"/>
  <c r="E29" i="1" s="1"/>
  <c r="D30" i="1"/>
  <c r="D29" i="1" s="1"/>
  <c r="K21" i="1"/>
  <c r="I21" i="1"/>
  <c r="G21" i="1"/>
  <c r="E21" i="1"/>
  <c r="D21" i="1"/>
  <c r="K18" i="1"/>
  <c r="I18" i="1"/>
  <c r="G18" i="1"/>
  <c r="E18" i="1"/>
  <c r="D18" i="1"/>
  <c r="K12" i="1"/>
  <c r="J12" i="1"/>
  <c r="I12" i="1"/>
  <c r="H12" i="1"/>
  <c r="G12" i="1"/>
  <c r="F12" i="1"/>
  <c r="E12" i="1"/>
  <c r="K10" i="1"/>
  <c r="J10" i="1"/>
  <c r="I10" i="1"/>
  <c r="H10" i="1"/>
  <c r="G10" i="1"/>
  <c r="F10" i="1"/>
  <c r="E10" i="1"/>
  <c r="D10" i="1"/>
  <c r="K8" i="1"/>
  <c r="J8" i="1"/>
  <c r="I8" i="1"/>
  <c r="H8" i="1"/>
  <c r="G8" i="1"/>
  <c r="F8" i="1"/>
  <c r="E8" i="1"/>
  <c r="D8" i="1"/>
  <c r="D5" i="3"/>
  <c r="E5" i="3" s="1"/>
  <c r="F5" i="3" s="1"/>
  <c r="G5" i="3" s="1"/>
  <c r="K150" i="1" l="1"/>
  <c r="H150" i="1"/>
  <c r="D17" i="1"/>
  <c r="K17" i="1"/>
  <c r="I15" i="1"/>
  <c r="I17" i="1"/>
  <c r="E15" i="1"/>
  <c r="G17" i="1"/>
  <c r="D15" i="1"/>
  <c r="E17" i="1"/>
  <c r="H15" i="1"/>
  <c r="J17" i="1"/>
  <c r="H17" i="1"/>
  <c r="F17" i="1"/>
  <c r="I24" i="1"/>
  <c r="I23" i="1" s="1"/>
  <c r="I20" i="1"/>
  <c r="D24" i="1"/>
  <c r="D23" i="1" s="1"/>
  <c r="D20" i="1"/>
  <c r="K24" i="1"/>
  <c r="K23" i="1" s="1"/>
  <c r="K20" i="1"/>
  <c r="E24" i="1"/>
  <c r="E23" i="1" s="1"/>
  <c r="E20" i="1"/>
  <c r="G24" i="1"/>
  <c r="G23" i="1" s="1"/>
  <c r="G20" i="1"/>
  <c r="D5" i="2"/>
  <c r="E5" i="2" s="1"/>
  <c r="F5" i="2" s="1"/>
  <c r="C5" i="2"/>
  <c r="J150" i="1" l="1"/>
  <c r="G29" i="1"/>
</calcChain>
</file>

<file path=xl/sharedStrings.xml><?xml version="1.0" encoding="utf-8"?>
<sst xmlns="http://schemas.openxmlformats.org/spreadsheetml/2006/main" count="811" uniqueCount="315">
  <si>
    <t xml:space="preserve">       Показатели</t>
  </si>
  <si>
    <t>Единица измерения</t>
  </si>
  <si>
    <t>млн.руб.</t>
  </si>
  <si>
    <t>%</t>
  </si>
  <si>
    <t>тыс.тонн</t>
  </si>
  <si>
    <t>в том числе</t>
  </si>
  <si>
    <t>человек</t>
  </si>
  <si>
    <t>рублей</t>
  </si>
  <si>
    <t>тыс.куб.м</t>
  </si>
  <si>
    <t>ПОТРЕБИТЕЛЬСКИЙ  РЫНОК</t>
  </si>
  <si>
    <t>тонн</t>
  </si>
  <si>
    <t>тыс.шт</t>
  </si>
  <si>
    <t>млн. квт.час</t>
  </si>
  <si>
    <t>Индекс-дефлятор к предыдущему году</t>
  </si>
  <si>
    <t>Выплаты социального характера, всего</t>
  </si>
  <si>
    <t>Индекс промышленного производства</t>
  </si>
  <si>
    <t xml:space="preserve">Индекс производства к предыдущему году </t>
  </si>
  <si>
    <t>тыс. дкл</t>
  </si>
  <si>
    <t>млн. условных кирпичей</t>
  </si>
  <si>
    <t>Инвестиции в основной капитал за счет всех источников финансирования - всего</t>
  </si>
  <si>
    <t>Индекс физического объема к предыдущему году в сопоставимых ценах</t>
  </si>
  <si>
    <t xml:space="preserve">Оборот розничной торговли </t>
  </si>
  <si>
    <t>Индекс физического объема оборота розничной торговли</t>
  </si>
  <si>
    <t>Индекс-дефлятор оборота розничной торговли</t>
  </si>
  <si>
    <t xml:space="preserve">Объем платных услуг населению </t>
  </si>
  <si>
    <t>Индекс физического объема платных услуг населению</t>
  </si>
  <si>
    <t xml:space="preserve"> Т Р У Д     </t>
  </si>
  <si>
    <t xml:space="preserve"> ФИНАНСЫ</t>
  </si>
  <si>
    <t xml:space="preserve"> СЕЛЬСКОЕ ХОЗЯЙСТВО</t>
  </si>
  <si>
    <t>ПРОИЗВОДСТВО ВАЖНЕЙШИХ ВИДОВ ПРОДУКЦИИ В НАТУРАЛЬНОМ ВЫРАЖЕНИИ</t>
  </si>
  <si>
    <t>тыс. тонн</t>
  </si>
  <si>
    <t>единиц</t>
  </si>
  <si>
    <t>млн. руб.</t>
  </si>
  <si>
    <t>тыс. пар</t>
  </si>
  <si>
    <t>тыс. штук</t>
  </si>
  <si>
    <t>тыс. руб.</t>
  </si>
  <si>
    <t>в % к пред. году</t>
  </si>
  <si>
    <t>СТРОИТЕЛЬСТВО и  ИНВЕСТИЦИИ</t>
  </si>
  <si>
    <t xml:space="preserve"> прогноз</t>
  </si>
  <si>
    <t>млн. рублей в ценах соотв.лет</t>
  </si>
  <si>
    <t xml:space="preserve">млн. руб. </t>
  </si>
  <si>
    <t>млн. руб. в ценах соотв. лет</t>
  </si>
  <si>
    <t>% к пред. году</t>
  </si>
  <si>
    <t>кв.м общей площади</t>
  </si>
  <si>
    <t>Объем выполненных работ по виду деятельности "строительство"</t>
  </si>
  <si>
    <t>Ввод в действие жилых домов</t>
  </si>
  <si>
    <t>Ввод в действие новых (производственных) предприятий или объектов (расшифровать по срокам ввода)</t>
  </si>
  <si>
    <t>Отчёт</t>
  </si>
  <si>
    <t>ПРОМЫШЛЕННОЕ ПРОИЗВОДСТВО</t>
  </si>
  <si>
    <t>Продукция сельского хозяйства в хозяйствах всех категорий</t>
  </si>
  <si>
    <t>% к предыдущему году</t>
  </si>
  <si>
    <t>тыс. плот. куб. м</t>
  </si>
  <si>
    <t>Добыча алмазов (руда)</t>
  </si>
  <si>
    <t>Прибыль прибыльных организаций с учетом филиалов и структурных подразделений организаций, зарегистрированных за пределами области</t>
  </si>
  <si>
    <t>Ввод в действие новых предприятий (производств) (расшифровать )</t>
  </si>
  <si>
    <t>Оценка</t>
  </si>
  <si>
    <t>ДЕМОГРАФИЧЕСКИЕ ПОКАЗАТЕЛИ</t>
  </si>
  <si>
    <t>Численность постоянного населения (среднегодовая)</t>
  </si>
  <si>
    <t>тыс. человек</t>
  </si>
  <si>
    <t>Индекс-дефлятор объема платных услуг</t>
  </si>
  <si>
    <t>Численность безработных, зарегистрированных в службах занятости</t>
  </si>
  <si>
    <t xml:space="preserve">Численность незанятых граждан, зарегистрированных в органах государственной службы занятости, в расчете на одну заявленную вакансию </t>
  </si>
  <si>
    <t xml:space="preserve">Доля прибыльных предприятий </t>
  </si>
  <si>
    <t>Продукция сельского хозяйства</t>
  </si>
  <si>
    <t>Промышленная продукция</t>
  </si>
  <si>
    <t>Продукция растениеводства</t>
  </si>
  <si>
    <t>Индекс производства продукции растениеводства</t>
  </si>
  <si>
    <t>Индекс-дефлятор продукции растениеводства</t>
  </si>
  <si>
    <t>Продукция животноводства</t>
  </si>
  <si>
    <t>Индекс производства продукции животноводства</t>
  </si>
  <si>
    <t>Индекс-дефлятор продукции животноводства</t>
  </si>
  <si>
    <t>Водка</t>
  </si>
  <si>
    <t>Фанера клееная</t>
  </si>
  <si>
    <t>Бумага</t>
  </si>
  <si>
    <t>Картон</t>
  </si>
  <si>
    <t>Портландцемент, цемент глиноземистый, цемент шлаковый и аналогичные цементы гидравлические</t>
  </si>
  <si>
    <t>Кирпич строительный (включая камни) из цемента, бетона или искусственного камня</t>
  </si>
  <si>
    <t>Кондитерские изделия</t>
  </si>
  <si>
    <t>Электроэнергия</t>
  </si>
  <si>
    <t>из них - недвижимое имущество</t>
  </si>
  <si>
    <t xml:space="preserve">Среднегодовая полная учетная стоимость основных фондов коммерческих организаций </t>
  </si>
  <si>
    <t>Среднемесячная заработная плата одного работника</t>
  </si>
  <si>
    <t>Финансовый результат с учетом филиалов и структурных подразделений организаций, зарегистрированных за пределами области (прибыль(+), убыток (-)</t>
  </si>
  <si>
    <t>Ликероводочные изделия с содержанием  спирта до 25 % включительно от объема готовой продукции</t>
  </si>
  <si>
    <t>Ликероводочные изделия с содержанием спирта свыше 25% включительно от объема готовой продукции</t>
  </si>
  <si>
    <t>Скот и птица на убой (в живом весе)</t>
  </si>
  <si>
    <t>Молоко</t>
  </si>
  <si>
    <t>Яйца</t>
  </si>
  <si>
    <t>Мясо и субпродукты пищевые домашней птицы</t>
  </si>
  <si>
    <t>Бокситы</t>
  </si>
  <si>
    <t>Уровень регистрируемой безработицы (к численности населения в трудоспособном возрасте)</t>
  </si>
  <si>
    <t xml:space="preserve"> %</t>
  </si>
  <si>
    <t>Городское население (среднегодовая)</t>
  </si>
  <si>
    <t>Сельское население (среднегодовая)</t>
  </si>
  <si>
    <t>Среднесписочная численность работников бюджетной сферы - всего</t>
  </si>
  <si>
    <t>образование</t>
  </si>
  <si>
    <t>в том числе:</t>
  </si>
  <si>
    <t>в том числе в отраслях бюджетной сферы:</t>
  </si>
  <si>
    <t xml:space="preserve"> Фонд заработной платы всех работников организаций отраслей бюджетной сферы - всего</t>
  </si>
  <si>
    <t>Объем отгруженных товаров собственного производства, выполненных работ и услуг собственными силами - 22 Производство резиновых и пластмассовых изделий</t>
  </si>
  <si>
    <t>Объем отгруженных товаров собственного производства, выполненных работ и услуг собственными силами - 21 Производство лекарственных средств и материалов, применяемых в медицинских целях</t>
  </si>
  <si>
    <t>Объем отгруженных товаров собственного производства, выполненных работ и услуг собственными силами - 20 Производство химических веществ и химических продуктов</t>
  </si>
  <si>
    <t>Объем отгруженных товаров собственного производства, выполненных работ и услуг собственными силами - 19 Производство кокса и нефтепродуктов</t>
  </si>
  <si>
    <t>Объем отгруженных товаров собственного производства, выполненных работ и услуг собственными силами - 18 Деятельность полиграфическая и копирование носителей информации</t>
  </si>
  <si>
    <t>Объем отгруженных товаров собственного производства, выполненных работ и услуг собственными силами - 17 Производство бумаги и бумажных изделий</t>
  </si>
  <si>
    <t>Объем отгруженных товаров собственного производства, выполненных работ и услуг собственными силами - 16 Обработка древесины и производство изделий из дерева  и пробки, кроме мебели, производство изделий из соломки и материалов для плетения</t>
  </si>
  <si>
    <t>Объем отгруженных товаров собственного производства, выполненных работ и услуг собственными силами - 15 Производство кожи и изделий из кожи</t>
  </si>
  <si>
    <t>Объем отгруженных товаров собственного производства, выполненных работ и услуг собственными силами - 14 Производство одежды</t>
  </si>
  <si>
    <t>Объем отгруженных товаров собственного производства, выполненных работ и услуг собственными силами - 13 Производство текстильных изделий</t>
  </si>
  <si>
    <t>Объем отгруженных товаров собственного производства, выполненных работ и услуг собственными силами - 10 Производство пищевых продуктов</t>
  </si>
  <si>
    <t>Объем отгруженных товаров собственного производства, выполненных работ и услуг собственными силами - 23 Производство прочих неметаллических минеральных продуктов</t>
  </si>
  <si>
    <t xml:space="preserve">Объем отгруженных товаров собственного производства, выполненных работ и услуг собственными силами - 24 Производство металлургическое производство </t>
  </si>
  <si>
    <t>Объем отгруженных товаров собственного производства, выполненных работ и услуг собственными силами - 25 Производство готовых металлических изделий, кроме машин и оборудованя</t>
  </si>
  <si>
    <t>Объем отгруженных товаров собственного производства, выполненных работ и услуг собственными силами - 26 Производство компъютеров, электронных и оптических изделий</t>
  </si>
  <si>
    <t>Объем отгруженных товаров собственного производства, выполненных работ и услуг собственными силами -27 Производство электрического оборудования</t>
  </si>
  <si>
    <t>Объем отгруженных товаров собственного производства, выполненных работ и услуг собственными силами - 28 Производство машин и оборудования, не включенных в другие группировки</t>
  </si>
  <si>
    <t>Объем отгруженных товаров собственного производства, выполненных работ и услуг собственными силами - 29 Производство автотранспортных средств, прицепов и полуприцепов</t>
  </si>
  <si>
    <t>Объем отгруженных товаров собственного производства, выполненных работ и услуг собственными силами - 30 Производство прочих транспортных средств и оборудования</t>
  </si>
  <si>
    <t>Объем отгруженных товаров собственного производства, выполненных работ и услуг собственными силами - 31 Производство мебели</t>
  </si>
  <si>
    <t>Объем отгруженных товаров собственного производства, выполненных работ и услуг собственными силами - 32 Производство прочих готовых изделий</t>
  </si>
  <si>
    <t>Продукты кисломолочные (кроме творога)</t>
  </si>
  <si>
    <t>Изделия хлебобулочные изделия недлительного хранения</t>
  </si>
  <si>
    <t>Изделия хлебобулочные изделия длительного хранения</t>
  </si>
  <si>
    <t xml:space="preserve">Пиво, кроме отходов пивоварения </t>
  </si>
  <si>
    <t>Пиломатериалы хвойных пород</t>
  </si>
  <si>
    <t>Пиломатериалы лиственных пород</t>
  </si>
  <si>
    <t>Щепа технологическая</t>
  </si>
  <si>
    <t xml:space="preserve">Целлюлоза </t>
  </si>
  <si>
    <t>Материалы лакокрасочные</t>
  </si>
  <si>
    <t>Пески природные</t>
  </si>
  <si>
    <t>Блоки и прочие  изделия сборные строительные</t>
  </si>
  <si>
    <t>Изделия трикотажные или вязанные</t>
  </si>
  <si>
    <t>Спецодежда</t>
  </si>
  <si>
    <t>деятельность в области здравоохранения и социальных услуг</t>
  </si>
  <si>
    <t xml:space="preserve">деятельность в области культуры, спорта, организации досуга и развлечений </t>
  </si>
  <si>
    <t>Молоко, кроме сырого</t>
  </si>
  <si>
    <t>Картофель</t>
  </si>
  <si>
    <t>Овощи</t>
  </si>
  <si>
    <t>Лесоматериалы необработанные</t>
  </si>
  <si>
    <t>Мясо крупного рогатого скота, свинина, баранина, козлятина, конина и мясо прочих животных семейства лошадиных, оленина и мясо прочих животных семейства оленьих (оленевых) парные, остывшие или охлажденные</t>
  </si>
  <si>
    <t>Масло сливочное, пасты масляные, масло топленое, жир молочный, спреды и смеси топленые сливочно-растительные</t>
  </si>
  <si>
    <t>Продукция из рыбы свежая, охлажденная или мороженая</t>
  </si>
  <si>
    <t xml:space="preserve">Лесоматериалы, продольно распиленные или расколотые, 
 разделенные на слои или лущеные, толщиной более 6 мм;  
 деревянные железнодорожные или трамвайные шпалы, 
 непропитанные
</t>
  </si>
  <si>
    <t>Изделия ювелирные и подобные</t>
  </si>
  <si>
    <t>Культуры зерновые</t>
  </si>
  <si>
    <t>Гранлы топливные (пеллеты)</t>
  </si>
  <si>
    <t>консервативный</t>
  </si>
  <si>
    <t xml:space="preserve">базовый </t>
  </si>
  <si>
    <t>Объем отгруженных товаров собственного производства, выполненных работ и услуг собственными силами - C Обрабатывающие производства</t>
  </si>
  <si>
    <t xml:space="preserve">Объем отгруженных товаров собственного произ-водства, выполненных работ и услуг собственными силами -D Обеспечение электрической энергией, газом и паром; кондиционирование воздуха  </t>
  </si>
  <si>
    <t xml:space="preserve">Объем отгруженных товаров собственного произ-водства, выполненных работ и услуг собственными силами - E Водоснабжение; водоотведение, организация сбора и утилизации отходов, деятельность по ликвидации загрязнений </t>
  </si>
  <si>
    <t>Фонд начисленной заработной платы работников организаций (без субъектов  малого предпринимательства)</t>
  </si>
  <si>
    <t>Среднесписочная численность работников организаций (без субъектов малого предпринимательства)</t>
  </si>
  <si>
    <t>2023 год</t>
  </si>
  <si>
    <t>2026 год (по вариантам)</t>
  </si>
  <si>
    <t>2024 год</t>
  </si>
  <si>
    <t>2027 год (по вариантам)</t>
  </si>
  <si>
    <t xml:space="preserve"> на 2026 год и плановый период 2027 и 2028 годов</t>
  </si>
  <si>
    <t>2025 год</t>
  </si>
  <si>
    <t>2028 год (по вариантам)</t>
  </si>
  <si>
    <t>Прогноз социально - экономического развития Вельского муниципального района Архангельской области</t>
  </si>
  <si>
    <t>Министерство экономического развития
Российской Федерации</t>
  </si>
  <si>
    <r>
      <t>Прогноз индексов цен производителей</t>
    </r>
    <r>
      <rPr>
        <b/>
        <vertAlign val="superscript"/>
        <sz val="16"/>
        <color rgb="FF203277"/>
        <rFont val="Arial"/>
        <family val="2"/>
        <charset val="204"/>
      </rPr>
      <t>1</t>
    </r>
    <r>
      <rPr>
        <b/>
        <sz val="16"/>
        <color rgb="FF203277"/>
        <rFont val="Arial"/>
        <family val="2"/>
        <charset val="204"/>
      </rPr>
      <t xml:space="preserve"> и индексов-дефляторов
по видам экономической деятельности на период до 2028 года, в % г/г</t>
    </r>
  </si>
  <si>
    <t xml:space="preserve"> Базовый вариант</t>
  </si>
  <si>
    <r>
      <t>отчет</t>
    </r>
    <r>
      <rPr>
        <b/>
        <vertAlign val="superscript"/>
        <sz val="13"/>
        <rFont val="Arial"/>
        <family val="2"/>
        <charset val="204"/>
      </rPr>
      <t>2</t>
    </r>
  </si>
  <si>
    <t>оценка</t>
  </si>
  <si>
    <t>прогноз</t>
  </si>
  <si>
    <t>Промышленность (BCDE)</t>
  </si>
  <si>
    <t xml:space="preserve">  дефлятор</t>
  </si>
  <si>
    <t xml:space="preserve">  ИЦП</t>
  </si>
  <si>
    <t xml:space="preserve">   в т. ч.  без продукции ТЭКа (нефть, нефтепродукты, уголь, газ, энергетика)</t>
  </si>
  <si>
    <t>Добыча полезных ископаемых (Раздел B)</t>
  </si>
  <si>
    <t xml:space="preserve">Добыча топливно-энергетических полезных ископаемых (05, 06+09) </t>
  </si>
  <si>
    <t>Добыча угля (05)</t>
  </si>
  <si>
    <r>
      <t xml:space="preserve">  уголь энергетический каменный</t>
    </r>
    <r>
      <rPr>
        <i/>
        <vertAlign val="superscript"/>
        <sz val="13"/>
        <color indexed="8"/>
        <rFont val="Arial"/>
        <family val="2"/>
        <charset val="204"/>
      </rPr>
      <t>3</t>
    </r>
  </si>
  <si>
    <t>Добыча сырой нефти и природного газа (06+09)</t>
  </si>
  <si>
    <t xml:space="preserve">Добыча металлических руд и прочих полезных ископаемых (07, 08) </t>
  </si>
  <si>
    <t>Добыча металлических руд (07)</t>
  </si>
  <si>
    <t>Добыча прочих полезных ископаемых (08)</t>
  </si>
  <si>
    <t>Обрабатывающие производства (Раздел C)</t>
  </si>
  <si>
    <t>Производство пищевых продуктов, Производство напитков, Производство табачных изделий (10, 11, 12)</t>
  </si>
  <si>
    <t>Производство текстильных изделий, Производство одежды, Производство кожи и изделий из кожи (13, 14, 15)</t>
  </si>
  <si>
    <t>Обработка древесины и производство изделий из дерева и пробки, кроме мебели, производство изделий из соломки и материалов для плетения (16)</t>
  </si>
  <si>
    <t>Производство бумаги и бумажных изделий (17)</t>
  </si>
  <si>
    <t>Производство нефтепродуктов (19.2)</t>
  </si>
  <si>
    <t>Производство химических веществ и химических продуктов, Производство лекарственных средств и материалов, применяемых в медицинских целях, Производство резиновых и пластмассовых изделий (20, 21, 22)</t>
  </si>
  <si>
    <t>Производство прочей неметаллической минеральной продукции (23)</t>
  </si>
  <si>
    <t xml:space="preserve">Производство черных металлов (24.1, 24.2, 24.3, 24.5) </t>
  </si>
  <si>
    <t>Производство основных драгоценных металлов и прочих цветных металлов, производство ядерного топлива (24.4)</t>
  </si>
  <si>
    <t>Производство готовых металлических изделий, кроме машин и оборудования (25)</t>
  </si>
  <si>
    <t>Продукция машиностроения (26, 27, 28, 29, 30, 33)</t>
  </si>
  <si>
    <t>Прочие</t>
  </si>
  <si>
    <t>Обеспечение электрической энергией, газом и паром; кондиционирование воздуха (Раздел D)</t>
  </si>
  <si>
    <t>Водоснабжение; водоотведение, организация сбора и утилизация отходов, деятельность по ликвидации загрязнений (Раздел E)</t>
  </si>
  <si>
    <t>Сельское хозяйство</t>
  </si>
  <si>
    <t xml:space="preserve"> - растениеводство</t>
  </si>
  <si>
    <t xml:space="preserve"> - животноводство</t>
  </si>
  <si>
    <t xml:space="preserve">  индекс цен реализации продукции сельхозпроизводителями</t>
  </si>
  <si>
    <t>Транспорт, вкл. трубопроводный</t>
  </si>
  <si>
    <r>
      <t xml:space="preserve">  дефлятор</t>
    </r>
    <r>
      <rPr>
        <b/>
        <vertAlign val="superscript"/>
        <sz val="13"/>
        <color indexed="8"/>
        <rFont val="Arial"/>
        <family val="2"/>
        <charset val="204"/>
      </rPr>
      <t>4</t>
    </r>
  </si>
  <si>
    <r>
      <t xml:space="preserve">  ИЦП</t>
    </r>
    <r>
      <rPr>
        <vertAlign val="superscript"/>
        <sz val="13"/>
        <rFont val="Arial"/>
        <family val="2"/>
        <charset val="204"/>
      </rPr>
      <t>5</t>
    </r>
  </si>
  <si>
    <r>
      <t xml:space="preserve">  ИЦП</t>
    </r>
    <r>
      <rPr>
        <vertAlign val="superscript"/>
        <sz val="13"/>
        <rFont val="Arial"/>
        <family val="2"/>
        <charset val="204"/>
      </rPr>
      <t>5</t>
    </r>
    <r>
      <rPr>
        <sz val="13"/>
        <rFont val="Arial"/>
        <family val="2"/>
        <charset val="204"/>
      </rPr>
      <t xml:space="preserve"> с исключением трубопроводного транспорта</t>
    </r>
  </si>
  <si>
    <r>
      <t>Инвестиции в основной капитал</t>
    </r>
    <r>
      <rPr>
        <b/>
        <vertAlign val="superscript"/>
        <sz val="13"/>
        <color indexed="8"/>
        <rFont val="Arial"/>
        <family val="2"/>
        <charset val="204"/>
      </rPr>
      <t xml:space="preserve"> 6</t>
    </r>
  </si>
  <si>
    <t xml:space="preserve">  индексы цен </t>
  </si>
  <si>
    <t>Строительство</t>
  </si>
  <si>
    <r>
      <t xml:space="preserve">Потребительский рынок </t>
    </r>
    <r>
      <rPr>
        <b/>
        <vertAlign val="superscript"/>
        <sz val="13"/>
        <color indexed="8"/>
        <rFont val="Arial"/>
        <family val="2"/>
        <charset val="204"/>
      </rPr>
      <t>7</t>
    </r>
  </si>
  <si>
    <t xml:space="preserve">  оборот розничной торговли, дефлятор</t>
  </si>
  <si>
    <t xml:space="preserve">  ИПЦ на товары</t>
  </si>
  <si>
    <t xml:space="preserve">  платные услуги населению, дефлятор</t>
  </si>
  <si>
    <t xml:space="preserve">  ИПЦ на услуги</t>
  </si>
  <si>
    <r>
      <rPr>
        <vertAlign val="superscript"/>
        <sz val="10"/>
        <color theme="1"/>
        <rFont val="Arial"/>
        <family val="2"/>
        <charset val="204"/>
      </rPr>
      <t>1</t>
    </r>
    <r>
      <rPr>
        <sz val="10"/>
        <color theme="1"/>
        <rFont val="Arial"/>
        <family val="2"/>
        <charset val="204"/>
      </rPr>
      <t xml:space="preserve"> На продукцию, реализованную на внутренний рынок.</t>
    </r>
  </si>
  <si>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 Индексы-дефляторы, выделены курсивом - оценка.</t>
    </r>
  </si>
  <si>
    <r>
      <rPr>
        <vertAlign val="superscript"/>
        <sz val="10"/>
        <color theme="1"/>
        <rFont val="Arial"/>
        <family val="2"/>
        <charset val="204"/>
      </rPr>
      <t xml:space="preserve">3 </t>
    </r>
    <r>
      <rPr>
        <sz val="10"/>
        <color theme="1"/>
        <rFont val="Arial"/>
        <family val="2"/>
        <charset val="204"/>
      </rPr>
      <t>В соответствии с Общероссийским классификатором продукции по видам экономической деятельности (ОКПД2) ОК 034-2014 (КПЕС 2008)  уголь, за исключением антрацита, угля коксующегося и угля бурого (05.10.10.130).</t>
    </r>
  </si>
  <si>
    <r>
      <rPr>
        <vertAlign val="superscript"/>
        <sz val="10"/>
        <color theme="1"/>
        <rFont val="Arial"/>
        <family val="2"/>
        <charset val="204"/>
      </rPr>
      <t>4</t>
    </r>
    <r>
      <rPr>
        <sz val="10"/>
        <color theme="1"/>
        <rFont val="Arial"/>
        <family val="2"/>
        <charset val="204"/>
      </rPr>
      <t xml:space="preserve"> По виду деятельности "Транспортировка и хранение".</t>
    </r>
  </si>
  <si>
    <r>
      <rPr>
        <vertAlign val="superscript"/>
        <sz val="10"/>
        <color theme="1"/>
        <rFont val="Arial"/>
        <family val="2"/>
        <charset val="204"/>
      </rPr>
      <t>5</t>
    </r>
    <r>
      <rPr>
        <sz val="10"/>
        <color theme="1"/>
        <rFont val="Arial"/>
        <family val="2"/>
        <charset val="204"/>
      </rPr>
      <t xml:space="preserve"> Индекс тарифов на грузовые перевозки.</t>
    </r>
  </si>
  <si>
    <r>
      <rPr>
        <vertAlign val="superscript"/>
        <sz val="10"/>
        <color theme="1"/>
        <rFont val="Arial"/>
        <family val="2"/>
        <charset val="204"/>
      </rPr>
      <t>6</t>
    </r>
    <r>
      <rPr>
        <sz val="10"/>
        <color theme="1"/>
        <rFont val="Arial"/>
        <family val="2"/>
        <charset val="204"/>
      </rPr>
      <t xml:space="preserve"> За счет всех источников финансирования.</t>
    </r>
  </si>
  <si>
    <r>
      <rPr>
        <vertAlign val="superscript"/>
        <sz val="10"/>
        <color theme="1"/>
        <rFont val="Arial"/>
        <family val="2"/>
        <charset val="204"/>
      </rPr>
      <t xml:space="preserve">7 </t>
    </r>
    <r>
      <rPr>
        <sz val="10"/>
        <color theme="1"/>
        <rFont val="Arial"/>
        <family val="2"/>
        <charset val="204"/>
      </rPr>
      <t>С учетом НДС, косвенных налогов, торгово-транспортной наценки.</t>
    </r>
  </si>
  <si>
    <t>Основные макроэкономические параметры среднесрочного прогноза социально-экономического развития Российской Федерации до 2028 года</t>
  </si>
  <si>
    <t>Консервативный вариант</t>
  </si>
  <si>
    <t>отчет</t>
  </si>
  <si>
    <t>Цена на нефть марки Юралс, долл. США за баррель</t>
  </si>
  <si>
    <t>Индекс  потребительских цен</t>
  </si>
  <si>
    <t/>
  </si>
  <si>
    <t xml:space="preserve">    на конец года</t>
  </si>
  <si>
    <t>% к декабрю</t>
  </si>
  <si>
    <t xml:space="preserve">    в среднем за год</t>
  </si>
  <si>
    <t>% г/г</t>
  </si>
  <si>
    <t xml:space="preserve">Валовой внутренний продукт </t>
  </si>
  <si>
    <t xml:space="preserve">    Номинальный объем</t>
  </si>
  <si>
    <t>млрд руб.</t>
  </si>
  <si>
    <t xml:space="preserve">    Темп роста </t>
  </si>
  <si>
    <t xml:space="preserve">    Индекс-дефлятор ВВП</t>
  </si>
  <si>
    <t xml:space="preserve">Объем отгруженной продукции (работ, услуг) </t>
  </si>
  <si>
    <t xml:space="preserve">    Индекс промышленного производства </t>
  </si>
  <si>
    <t xml:space="preserve">    Индекс-дефлятор (по сопоставимому кругу предприятий)</t>
  </si>
  <si>
    <t xml:space="preserve">Продукция сельского хозяйства </t>
  </si>
  <si>
    <t xml:space="preserve">    Индекс-дефлятор</t>
  </si>
  <si>
    <t xml:space="preserve">Инвестиции в основной капитал </t>
  </si>
  <si>
    <t>Оборот розничной торговли</t>
  </si>
  <si>
    <t xml:space="preserve">     к ВВП</t>
  </si>
  <si>
    <t xml:space="preserve">% </t>
  </si>
  <si>
    <t xml:space="preserve"> Объем платных услуг населению</t>
  </si>
  <si>
    <t>Прибыль по всем видам деятельности</t>
  </si>
  <si>
    <t>Прибыль прибыльных организаций для целей бухгалтерского учета</t>
  </si>
  <si>
    <t>Амортизация</t>
  </si>
  <si>
    <t>Среднегодовая стоимость амортизируемого имущества</t>
  </si>
  <si>
    <t>Фонд заработной платы работников организаций</t>
  </si>
  <si>
    <t xml:space="preserve">    Темп роста</t>
  </si>
  <si>
    <t>Среднемесячная начисленная
заработная плата работников организаций</t>
  </si>
  <si>
    <t>руб./мес.</t>
  </si>
  <si>
    <t xml:space="preserve">     Темп роста</t>
  </si>
  <si>
    <t>Реальная заработная плата  работников организаций</t>
  </si>
  <si>
    <t>Реальные располагаемые денежные доходы населения</t>
  </si>
  <si>
    <t>Величина прожиточного минимума в расчете на душу населения
(в среднем за год)</t>
  </si>
  <si>
    <t>трудоспособного населения</t>
  </si>
  <si>
    <t>пенсионеров</t>
  </si>
  <si>
    <t>детей</t>
  </si>
  <si>
    <t>Экспорт товаров</t>
  </si>
  <si>
    <t xml:space="preserve">     Номинальное значение</t>
  </si>
  <si>
    <t>млрд долл. США</t>
  </si>
  <si>
    <t xml:space="preserve">     Темп роста в номинальном выражении</t>
  </si>
  <si>
    <t xml:space="preserve">     Темп роста в реальном выражении</t>
  </si>
  <si>
    <t>Ненефтегазовый экспорт</t>
  </si>
  <si>
    <t>Нефтегазовый экспорт</t>
  </si>
  <si>
    <t>Экспорт услуг</t>
  </si>
  <si>
    <t>Импорт товаров</t>
  </si>
  <si>
    <t>Торговый баланс</t>
  </si>
  <si>
    <t>Счет текущих операций</t>
  </si>
  <si>
    <t>Численность рабочей силы</t>
  </si>
  <si>
    <t>млн чел.</t>
  </si>
  <si>
    <t>Численность занятых в экономике</t>
  </si>
  <si>
    <t>Общая численность безработных граждан</t>
  </si>
  <si>
    <t>Уровень безработицы</t>
  </si>
  <si>
    <t>% к рабочей силе</t>
  </si>
  <si>
    <t>Производительность труда</t>
  </si>
  <si>
    <t>Курс доллара США</t>
  </si>
  <si>
    <t>рублей за доллар</t>
  </si>
  <si>
    <t>-</t>
  </si>
  <si>
    <t>Объем производства промышленной продукции</t>
  </si>
  <si>
    <t xml:space="preserve">СЕЛЬСКОЕ ХОЗЯЙСТВО </t>
  </si>
  <si>
    <t>Реконструкция системы теплоснабжения п.Кулой Вельского района Архангельской области</t>
  </si>
  <si>
    <t>Наименование показателя</t>
  </si>
  <si>
    <t>Ед. изм</t>
  </si>
  <si>
    <t>ГАЗИФИКАЦИЯ И ЖКХ</t>
  </si>
  <si>
    <t>Строительство сетей водоснабжения по ул. Глинница г.Вельск Архангельской области</t>
  </si>
  <si>
    <t>Строительство сети уличного освещения в мкр. Южный г.Вельска Архангельской области</t>
  </si>
  <si>
    <t>Реконструкция водопроводно-очистных сооружений в городском поселении "Вельское"</t>
  </si>
  <si>
    <t>Строительство газопровода межпоселковый от ГРС "Кулой" до пос. Кулой, Кулойской ГТ-ТЭЦ и дер. Мелединская Вельского района</t>
  </si>
  <si>
    <t>Строительство газопровода распределительного  в п.Кулой Вельского района Архангельской области</t>
  </si>
  <si>
    <t>Строительство молочно-товарной фермы на 2000 дойных коров с выращиванием молодняка в АО «Агрофирма «Вельская»</t>
  </si>
  <si>
    <t>Реконструкция мелиоративных систем в АО «Агрофирма «Вельская» в д.Теребино</t>
  </si>
  <si>
    <t xml:space="preserve">Строительство телятника на 256 голов в АО "Важское" </t>
  </si>
  <si>
    <t>Строительство телятника на 186 голов в АО «Важское»</t>
  </si>
  <si>
    <t>Строительство телятника на 494 головы в АО "Важское"</t>
  </si>
  <si>
    <t>Строительство силосных траншей в АО "Важское"</t>
  </si>
  <si>
    <t>Строительство родильного отделения на 117 коров в АО "Важское"</t>
  </si>
  <si>
    <t>Строительство склада хранения кормов в АО "Важское"</t>
  </si>
  <si>
    <t>Строительство телятника на 600 голов в ООО «Пежма»</t>
  </si>
  <si>
    <t>Строительство цеха по производству комбикормов в ООО «Пежма»</t>
  </si>
  <si>
    <t>Строительство кормоцеха в ООО «Агрофирма Судромская»</t>
  </si>
  <si>
    <t>Строительство телятника на 276 голов в ООО "Агрофирма Судромская"</t>
  </si>
  <si>
    <t>Модернизация животноводческого комплекса на 400 голов в ООО "Агрофирма Судромская"</t>
  </si>
  <si>
    <t>ВСЕГО</t>
  </si>
  <si>
    <t>Строительство газопровода-отвода и ГРС в п.Кулой ГП "Кулойское"</t>
  </si>
  <si>
    <t xml:space="preserve">Объем отгруженных товаров собственного производства, выполненных работ и услуг собственными силами - 11 Производство напитков </t>
  </si>
  <si>
    <t>Капитальный ремонт конюшни №1 на 18 конемест в АО "Агрофирма Вельская"</t>
  </si>
  <si>
    <t>Капитальный ремонт конюшни №4 на 20 конемест в АО "Агрофирма Вельская"</t>
  </si>
  <si>
    <t>Реконструкция телятника на 200 голов в АО "Важское"</t>
  </si>
  <si>
    <t>Реконструкция мелиоративных систем в АО "Важское" "Брюховская" и "Приречье"</t>
  </si>
  <si>
    <t xml:space="preserve">Реконструкция мелиоративных систем в АО «Важское» </t>
  </si>
  <si>
    <t>Строительство родильного отделения в ООО "Пежма"</t>
  </si>
  <si>
    <t>Реконструкция родильного отделения в ООО "Пежма"</t>
  </si>
  <si>
    <t xml:space="preserve">Реконструкция мелиоративных систем в АО «Агрофирма «Вельская» </t>
  </si>
  <si>
    <t xml:space="preserve">Строительство молочно-товарной фермы на 240 голов  в ООО «Агрофирма Судромская» </t>
  </si>
  <si>
    <t>Капитальный ремонт водовода от станции ВОС по ул.Белинского, ул.Чехова до ул. Гайдара г. Вельск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</si>
</sst>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)"/>
    <numFmt numFmtId="165" formatCode="0.0_)"/>
    <numFmt numFmtId="166" formatCode="0.000"/>
    <numFmt numFmtId="167" formatCode="0.0"/>
    <numFmt numFmtId="168" formatCode="#,##0.0"/>
  </numFmts>
  <fonts count="5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Tahoma"/>
      <family val="2"/>
      <charset val="204"/>
    </font>
    <font>
      <sz val="9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Tahoma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color rgb="FF203277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vertAlign val="superscript"/>
      <sz val="16"/>
      <color rgb="FF203277"/>
      <name val="Arial"/>
      <family val="2"/>
      <charset val="204"/>
    </font>
    <font>
      <b/>
      <sz val="16"/>
      <color rgb="FF2C2C84"/>
      <name val="Arial"/>
      <family val="2"/>
      <charset val="204"/>
    </font>
    <font>
      <sz val="10"/>
      <name val="Arial"/>
      <family val="2"/>
      <charset val="204"/>
    </font>
    <font>
      <sz val="10"/>
      <name val="Courier"/>
      <family val="1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vertAlign val="superscript"/>
      <sz val="13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03277"/>
      <name val="Arial"/>
      <family val="2"/>
      <charset val="204"/>
    </font>
    <font>
      <sz val="12"/>
      <color rgb="FF203277"/>
      <name val="Arial"/>
      <family val="2"/>
      <charset val="204"/>
    </font>
    <font>
      <sz val="12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vertAlign val="superscript"/>
      <sz val="13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b/>
      <vertAlign val="superscript"/>
      <sz val="13"/>
      <color indexed="8"/>
      <name val="Arial"/>
      <family val="2"/>
      <charset val="204"/>
    </font>
    <font>
      <vertAlign val="superscript"/>
      <sz val="13"/>
      <name val="Arial"/>
      <family val="2"/>
      <charset val="204"/>
    </font>
    <font>
      <sz val="13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10"/>
      <name val="Arial"/>
      <family val="2"/>
      <charset val="204"/>
    </font>
    <font>
      <sz val="12"/>
      <color theme="1"/>
      <name val="Arial"/>
      <family val="2"/>
      <charset val="204"/>
    </font>
    <font>
      <b/>
      <sz val="13"/>
      <name val="Arial"/>
      <family val="2"/>
      <charset val="204"/>
    </font>
    <font>
      <sz val="10"/>
      <name val="Helv"/>
    </font>
    <font>
      <sz val="10"/>
      <name val="Arial Cyr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F1F7"/>
        <bgColor indexed="64"/>
      </patternFill>
    </fill>
    <fill>
      <patternFill patternType="solid">
        <fgColor rgb="FF92D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7">
    <xf numFmtId="0" fontId="0" fillId="0" borderId="0"/>
    <xf numFmtId="0" fontId="19" fillId="0" borderId="0"/>
    <xf numFmtId="0" fontId="4" fillId="0" borderId="0"/>
    <xf numFmtId="0" fontId="4" fillId="0" borderId="0"/>
    <xf numFmtId="164" fontId="28" fillId="0" borderId="0"/>
    <xf numFmtId="0" fontId="27" fillId="0" borderId="0"/>
    <xf numFmtId="0" fontId="48" fillId="0" borderId="0"/>
    <xf numFmtId="0" fontId="49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70">
    <xf numFmtId="0" fontId="0" fillId="0" borderId="0" xfId="0"/>
    <xf numFmtId="0" fontId="6" fillId="0" borderId="0" xfId="0" applyFont="1"/>
    <xf numFmtId="0" fontId="8" fillId="0" borderId="0" xfId="0" applyFont="1"/>
    <xf numFmtId="0" fontId="0" fillId="0" borderId="0" xfId="0" applyBorder="1"/>
    <xf numFmtId="0" fontId="8" fillId="0" borderId="0" xfId="0" applyFont="1" applyBorder="1"/>
    <xf numFmtId="2" fontId="10" fillId="0" borderId="0" xfId="0" applyNumberFormat="1" applyFont="1" applyFill="1" applyBorder="1" applyAlignment="1" applyProtection="1">
      <alignment horizontal="right" vertical="center"/>
    </xf>
    <xf numFmtId="2" fontId="11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Fill="1" applyProtection="1"/>
    <xf numFmtId="0" fontId="6" fillId="0" borderId="0" xfId="0" applyFont="1" applyBorder="1"/>
    <xf numFmtId="0" fontId="10" fillId="0" borderId="0" xfId="0" applyFont="1" applyFill="1" applyBorder="1" applyProtection="1"/>
    <xf numFmtId="0" fontId="5" fillId="0" borderId="0" xfId="0" applyFont="1" applyBorder="1"/>
    <xf numFmtId="0" fontId="5" fillId="0" borderId="0" xfId="0" applyFont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0" fontId="8" fillId="0" borderId="0" xfId="0" applyFont="1" applyFill="1" applyBorder="1"/>
    <xf numFmtId="0" fontId="8" fillId="0" borderId="0" xfId="0" applyFont="1" applyFill="1"/>
    <xf numFmtId="0" fontId="5" fillId="0" borderId="0" xfId="0" applyFont="1" applyFill="1" applyBorder="1"/>
    <xf numFmtId="0" fontId="5" fillId="0" borderId="0" xfId="0" applyFont="1" applyFill="1"/>
    <xf numFmtId="0" fontId="12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3" fillId="0" borderId="3" xfId="0" applyNumberFormat="1" applyFont="1" applyFill="1" applyBorder="1" applyAlignment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 inden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4" fontId="13" fillId="0" borderId="1" xfId="0" applyNumberFormat="1" applyFont="1" applyBorder="1" applyAlignment="1">
      <alignment horizontal="right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4" fontId="13" fillId="2" borderId="1" xfId="0" applyNumberFormat="1" applyFont="1" applyFill="1" applyBorder="1" applyAlignment="1" applyProtection="1">
      <alignment horizontal="right" vertical="center" wrapText="1"/>
    </xf>
    <xf numFmtId="4" fontId="13" fillId="0" borderId="1" xfId="0" applyNumberFormat="1" applyFont="1" applyFill="1" applyBorder="1" applyAlignment="1" applyProtection="1">
      <alignment horizontal="right" vertical="center"/>
    </xf>
    <xf numFmtId="0" fontId="16" fillId="2" borderId="1" xfId="0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4" fontId="16" fillId="0" borderId="1" xfId="0" applyNumberFormat="1" applyFont="1" applyBorder="1" applyAlignment="1">
      <alignment horizontal="right" vertical="center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 applyProtection="1">
      <alignment horizontal="left" vertical="center" wrapText="1" indent="1"/>
    </xf>
    <xf numFmtId="0" fontId="17" fillId="0" borderId="1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top" wrapText="1"/>
    </xf>
    <xf numFmtId="0" fontId="16" fillId="0" borderId="1" xfId="0" applyFont="1" applyFill="1" applyBorder="1" applyAlignment="1">
      <alignment horizontal="left" vertical="center"/>
    </xf>
    <xf numFmtId="4" fontId="16" fillId="3" borderId="1" xfId="0" applyNumberFormat="1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3" fillId="4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left" vertical="center" wrapText="1" shrinkToFi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top" wrapText="1" shrinkToFit="1"/>
    </xf>
    <xf numFmtId="0" fontId="15" fillId="0" borderId="1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 applyProtection="1">
      <alignment horizontal="left" vertical="top" wrapText="1" shrinkToFit="1"/>
    </xf>
    <xf numFmtId="0" fontId="13" fillId="0" borderId="1" xfId="0" applyFont="1" applyFill="1" applyBorder="1" applyAlignment="1" applyProtection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4" fillId="0" borderId="0" xfId="2"/>
    <xf numFmtId="0" fontId="27" fillId="0" borderId="0" xfId="1" applyFont="1"/>
    <xf numFmtId="164" fontId="30" fillId="0" borderId="10" xfId="4" applyFont="1" applyBorder="1" applyAlignment="1" applyProtection="1">
      <alignment horizontal="center" vertical="center" wrapText="1"/>
      <protection locked="0"/>
    </xf>
    <xf numFmtId="164" fontId="30" fillId="0" borderId="11" xfId="4" applyFont="1" applyBorder="1" applyAlignment="1" applyProtection="1">
      <alignment horizontal="center" vertical="center" wrapText="1"/>
      <protection locked="0"/>
    </xf>
    <xf numFmtId="164" fontId="30" fillId="0" borderId="12" xfId="4" applyFont="1" applyBorder="1" applyAlignment="1" applyProtection="1">
      <alignment horizontal="center" vertical="center" wrapText="1"/>
      <protection locked="0"/>
    </xf>
    <xf numFmtId="0" fontId="31" fillId="0" borderId="14" xfId="2" applyFont="1" applyBorder="1" applyAlignment="1">
      <alignment horizontal="center"/>
    </xf>
    <xf numFmtId="0" fontId="31" fillId="0" borderId="15" xfId="2" applyFont="1" applyBorder="1" applyAlignment="1">
      <alignment horizontal="center"/>
    </xf>
    <xf numFmtId="0" fontId="34" fillId="5" borderId="17" xfId="1" applyFont="1" applyFill="1" applyBorder="1" applyAlignment="1">
      <alignment horizontal="left" vertical="center" wrapText="1" indent="2"/>
    </xf>
    <xf numFmtId="1" fontId="35" fillId="5" borderId="18" xfId="1" applyNumberFormat="1" applyFont="1" applyFill="1" applyBorder="1" applyAlignment="1">
      <alignment horizontal="center" vertical="center"/>
    </xf>
    <xf numFmtId="1" fontId="35" fillId="5" borderId="19" xfId="1" applyNumberFormat="1" applyFont="1" applyFill="1" applyBorder="1" applyAlignment="1">
      <alignment horizontal="center" vertical="center"/>
    </xf>
    <xf numFmtId="0" fontId="34" fillId="5" borderId="20" xfId="1" applyFont="1" applyFill="1" applyBorder="1"/>
    <xf numFmtId="164" fontId="30" fillId="0" borderId="21" xfId="4" applyFont="1" applyBorder="1" applyAlignment="1">
      <alignment vertical="center"/>
    </xf>
    <xf numFmtId="165" fontId="31" fillId="0" borderId="22" xfId="4" applyNumberFormat="1" applyFont="1" applyBorder="1" applyAlignment="1">
      <alignment horizontal="center" vertical="center"/>
    </xf>
    <xf numFmtId="165" fontId="31" fillId="0" borderId="4" xfId="4" applyNumberFormat="1" applyFont="1" applyBorder="1" applyAlignment="1">
      <alignment horizontal="center" vertical="center"/>
    </xf>
    <xf numFmtId="165" fontId="31" fillId="0" borderId="23" xfId="4" applyNumberFormat="1" applyFont="1" applyBorder="1" applyAlignment="1">
      <alignment horizontal="center" vertical="center"/>
    </xf>
    <xf numFmtId="164" fontId="29" fillId="0" borderId="21" xfId="4" applyFont="1" applyBorder="1" applyAlignment="1">
      <alignment vertical="center"/>
    </xf>
    <xf numFmtId="165" fontId="36" fillId="0" borderId="22" xfId="4" applyNumberFormat="1" applyFont="1" applyBorder="1" applyAlignment="1">
      <alignment horizontal="center" vertical="center"/>
    </xf>
    <xf numFmtId="165" fontId="36" fillId="0" borderId="4" xfId="4" applyNumberFormat="1" applyFont="1" applyBorder="1" applyAlignment="1">
      <alignment horizontal="center" vertical="center"/>
    </xf>
    <xf numFmtId="165" fontId="36" fillId="0" borderId="23" xfId="4" applyNumberFormat="1" applyFont="1" applyBorder="1" applyAlignment="1">
      <alignment horizontal="center" vertical="center"/>
    </xf>
    <xf numFmtId="164" fontId="37" fillId="0" borderId="21" xfId="4" applyFont="1" applyBorder="1" applyAlignment="1">
      <alignment vertical="center" wrapText="1"/>
    </xf>
    <xf numFmtId="0" fontId="34" fillId="5" borderId="24" xfId="1" applyFont="1" applyFill="1" applyBorder="1" applyAlignment="1">
      <alignment horizontal="left" vertical="center" wrapText="1" indent="2"/>
    </xf>
    <xf numFmtId="1" fontId="36" fillId="5" borderId="25" xfId="1" applyNumberFormat="1" applyFont="1" applyFill="1" applyBorder="1" applyAlignment="1">
      <alignment horizontal="center" vertical="center"/>
    </xf>
    <xf numFmtId="1" fontId="36" fillId="5" borderId="7" xfId="1" applyNumberFormat="1" applyFont="1" applyFill="1" applyBorder="1" applyAlignment="1">
      <alignment horizontal="center" vertical="center"/>
    </xf>
    <xf numFmtId="0" fontId="31" fillId="5" borderId="26" xfId="1" applyFont="1" applyFill="1" applyBorder="1"/>
    <xf numFmtId="164" fontId="29" fillId="4" borderId="27" xfId="4" applyFont="1" applyFill="1" applyBorder="1" applyAlignment="1">
      <alignment vertical="center"/>
    </xf>
    <xf numFmtId="0" fontId="4" fillId="4" borderId="0" xfId="2" applyFill="1"/>
    <xf numFmtId="164" fontId="29" fillId="4" borderId="21" xfId="4" applyFont="1" applyFill="1" applyBorder="1" applyAlignment="1">
      <alignment vertical="center"/>
    </xf>
    <xf numFmtId="165" fontId="36" fillId="0" borderId="3" xfId="4" applyNumberFormat="1" applyFont="1" applyBorder="1" applyAlignment="1">
      <alignment horizontal="center" vertical="center"/>
    </xf>
    <xf numFmtId="165" fontId="36" fillId="0" borderId="28" xfId="4" applyNumberFormat="1" applyFont="1" applyBorder="1" applyAlignment="1">
      <alignment horizontal="center" vertical="center"/>
    </xf>
    <xf numFmtId="165" fontId="36" fillId="0" borderId="29" xfId="4" applyNumberFormat="1" applyFont="1" applyBorder="1" applyAlignment="1">
      <alignment horizontal="center" vertical="center"/>
    </xf>
    <xf numFmtId="0" fontId="34" fillId="5" borderId="27" xfId="1" applyFont="1" applyFill="1" applyBorder="1" applyAlignment="1">
      <alignment horizontal="left" vertical="center" wrapText="1" indent="2"/>
    </xf>
    <xf numFmtId="1" fontId="36" fillId="5" borderId="30" xfId="1" applyNumberFormat="1" applyFont="1" applyFill="1" applyBorder="1" applyAlignment="1">
      <alignment horizontal="center" vertical="center"/>
    </xf>
    <xf numFmtId="1" fontId="36" fillId="5" borderId="31" xfId="1" applyNumberFormat="1" applyFont="1" applyFill="1" applyBorder="1" applyAlignment="1">
      <alignment horizontal="center" vertical="center"/>
    </xf>
    <xf numFmtId="0" fontId="31" fillId="5" borderId="32" xfId="1" applyFont="1" applyFill="1" applyBorder="1"/>
    <xf numFmtId="0" fontId="35" fillId="5" borderId="24" xfId="1" applyFont="1" applyFill="1" applyBorder="1" applyAlignment="1">
      <alignment horizontal="left" vertical="center" wrapText="1" indent="2"/>
    </xf>
    <xf numFmtId="0" fontId="36" fillId="5" borderId="26" xfId="1" applyFont="1" applyFill="1" applyBorder="1"/>
    <xf numFmtId="164" fontId="29" fillId="0" borderId="13" xfId="4" applyFont="1" applyBorder="1" applyAlignment="1">
      <alignment vertical="center"/>
    </xf>
    <xf numFmtId="165" fontId="36" fillId="0" borderId="33" xfId="4" applyNumberFormat="1" applyFont="1" applyBorder="1" applyAlignment="1">
      <alignment horizontal="center" vertical="center"/>
    </xf>
    <xf numFmtId="165" fontId="36" fillId="0" borderId="34" xfId="4" applyNumberFormat="1" applyFont="1" applyBorder="1" applyAlignment="1">
      <alignment horizontal="center" vertical="center"/>
    </xf>
    <xf numFmtId="165" fontId="36" fillId="0" borderId="35" xfId="4" applyNumberFormat="1" applyFont="1" applyBorder="1" applyAlignment="1">
      <alignment horizontal="center" vertical="center"/>
    </xf>
    <xf numFmtId="0" fontId="35" fillId="5" borderId="17" xfId="1" applyFont="1" applyFill="1" applyBorder="1" applyAlignment="1">
      <alignment horizontal="left" vertical="center" wrapText="1" indent="2"/>
    </xf>
    <xf numFmtId="1" fontId="36" fillId="5" borderId="18" xfId="1" applyNumberFormat="1" applyFont="1" applyFill="1" applyBorder="1" applyAlignment="1">
      <alignment horizontal="center" vertical="center"/>
    </xf>
    <xf numFmtId="1" fontId="36" fillId="5" borderId="19" xfId="1" applyNumberFormat="1" applyFont="1" applyFill="1" applyBorder="1" applyAlignment="1">
      <alignment horizontal="center" vertical="center"/>
    </xf>
    <xf numFmtId="0" fontId="36" fillId="5" borderId="20" xfId="1" applyFont="1" applyFill="1" applyBorder="1"/>
    <xf numFmtId="164" fontId="29" fillId="0" borderId="27" xfId="4" applyFont="1" applyBorder="1" applyAlignment="1">
      <alignment vertical="center"/>
    </xf>
    <xf numFmtId="1" fontId="31" fillId="5" borderId="30" xfId="1" applyNumberFormat="1" applyFont="1" applyFill="1" applyBorder="1" applyAlignment="1">
      <alignment horizontal="center" vertical="center"/>
    </xf>
    <xf numFmtId="1" fontId="31" fillId="5" borderId="31" xfId="1" applyNumberFormat="1" applyFont="1" applyFill="1" applyBorder="1" applyAlignment="1">
      <alignment horizontal="center" vertical="center"/>
    </xf>
    <xf numFmtId="0" fontId="35" fillId="5" borderId="27" xfId="1" applyFont="1" applyFill="1" applyBorder="1" applyAlignment="1">
      <alignment horizontal="left" vertical="center" wrapText="1" indent="2"/>
    </xf>
    <xf numFmtId="0" fontId="36" fillId="5" borderId="32" xfId="1" applyFont="1" applyFill="1" applyBorder="1"/>
    <xf numFmtId="165" fontId="31" fillId="0" borderId="3" xfId="4" applyNumberFormat="1" applyFont="1" applyBorder="1" applyAlignment="1">
      <alignment horizontal="center" vertical="center"/>
    </xf>
    <xf numFmtId="165" fontId="31" fillId="0" borderId="28" xfId="4" applyNumberFormat="1" applyFont="1" applyBorder="1" applyAlignment="1">
      <alignment horizontal="center" vertical="center"/>
    </xf>
    <xf numFmtId="1" fontId="31" fillId="5" borderId="25" xfId="1" applyNumberFormat="1" applyFont="1" applyFill="1" applyBorder="1" applyAlignment="1">
      <alignment horizontal="center" vertical="center"/>
    </xf>
    <xf numFmtId="1" fontId="31" fillId="5" borderId="7" xfId="1" applyNumberFormat="1" applyFont="1" applyFill="1" applyBorder="1" applyAlignment="1">
      <alignment horizontal="center" vertical="center"/>
    </xf>
    <xf numFmtId="1" fontId="31" fillId="5" borderId="18" xfId="1" applyNumberFormat="1" applyFont="1" applyFill="1" applyBorder="1" applyAlignment="1">
      <alignment horizontal="center" vertical="center"/>
    </xf>
    <xf numFmtId="1" fontId="31" fillId="5" borderId="19" xfId="1" applyNumberFormat="1" applyFont="1" applyFill="1" applyBorder="1" applyAlignment="1">
      <alignment horizontal="center" vertical="center"/>
    </xf>
    <xf numFmtId="0" fontId="31" fillId="5" borderId="20" xfId="1" applyFont="1" applyFill="1" applyBorder="1"/>
    <xf numFmtId="165" fontId="39" fillId="0" borderId="22" xfId="4" applyNumberFormat="1" applyFont="1" applyBorder="1" applyAlignment="1">
      <alignment horizontal="center" vertical="center"/>
    </xf>
    <xf numFmtId="164" fontId="29" fillId="0" borderId="27" xfId="4" applyFont="1" applyBorder="1" applyAlignment="1">
      <alignment vertical="center" wrapText="1"/>
    </xf>
    <xf numFmtId="1" fontId="34" fillId="5" borderId="25" xfId="1" applyNumberFormat="1" applyFont="1" applyFill="1" applyBorder="1" applyAlignment="1">
      <alignment horizontal="center" vertical="center"/>
    </xf>
    <xf numFmtId="1" fontId="34" fillId="5" borderId="7" xfId="1" applyNumberFormat="1" applyFont="1" applyFill="1" applyBorder="1" applyAlignment="1">
      <alignment horizontal="center" vertical="center"/>
    </xf>
    <xf numFmtId="0" fontId="34" fillId="5" borderId="26" xfId="1" applyFont="1" applyFill="1" applyBorder="1"/>
    <xf numFmtId="164" fontId="36" fillId="0" borderId="21" xfId="4" applyFont="1" applyBorder="1" applyAlignment="1">
      <alignment vertical="center"/>
    </xf>
    <xf numFmtId="164" fontId="36" fillId="0" borderId="27" xfId="4" applyFont="1" applyBorder="1" applyAlignment="1">
      <alignment vertical="center" wrapText="1"/>
    </xf>
    <xf numFmtId="1" fontId="34" fillId="5" borderId="30" xfId="1" applyNumberFormat="1" applyFont="1" applyFill="1" applyBorder="1" applyAlignment="1">
      <alignment horizontal="center" vertical="center"/>
    </xf>
    <xf numFmtId="1" fontId="34" fillId="5" borderId="31" xfId="1" applyNumberFormat="1" applyFont="1" applyFill="1" applyBorder="1" applyAlignment="1">
      <alignment horizontal="center" vertical="center"/>
    </xf>
    <xf numFmtId="0" fontId="34" fillId="5" borderId="32" xfId="1" applyFont="1" applyFill="1" applyBorder="1"/>
    <xf numFmtId="0" fontId="43" fillId="0" borderId="0" xfId="2" applyFont="1" applyAlignment="1">
      <alignment horizontal="left"/>
    </xf>
    <xf numFmtId="165" fontId="36" fillId="0" borderId="0" xfId="4" applyNumberFormat="1" applyFont="1" applyAlignment="1">
      <alignment horizontal="center" vertical="center"/>
    </xf>
    <xf numFmtId="0" fontId="27" fillId="0" borderId="0" xfId="2" applyFont="1" applyAlignment="1">
      <alignment horizontal="left"/>
    </xf>
    <xf numFmtId="0" fontId="46" fillId="0" borderId="0" xfId="2" applyFont="1"/>
    <xf numFmtId="0" fontId="46" fillId="0" borderId="0" xfId="2" applyFont="1" applyAlignment="1">
      <alignment horizontal="left" wrapText="1"/>
    </xf>
    <xf numFmtId="166" fontId="46" fillId="0" borderId="0" xfId="2" applyNumberFormat="1" applyFont="1"/>
    <xf numFmtId="0" fontId="0" fillId="0" borderId="0" xfId="1" applyFont="1" applyAlignment="1">
      <alignment vertical="center"/>
    </xf>
    <xf numFmtId="0" fontId="31" fillId="0" borderId="10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47" fillId="0" borderId="33" xfId="1" applyFont="1" applyBorder="1" applyAlignment="1">
      <alignment horizontal="center" vertical="center"/>
    </xf>
    <xf numFmtId="0" fontId="47" fillId="0" borderId="34" xfId="1" applyFont="1" applyBorder="1" applyAlignment="1">
      <alignment horizontal="center" vertical="center"/>
    </xf>
    <xf numFmtId="14" fontId="36" fillId="0" borderId="9" xfId="1" applyNumberFormat="1" applyFont="1" applyBorder="1" applyAlignment="1">
      <alignment horizontal="left" vertical="center" wrapText="1"/>
    </xf>
    <xf numFmtId="0" fontId="36" fillId="0" borderId="9" xfId="1" applyFont="1" applyBorder="1" applyAlignment="1">
      <alignment horizontal="center" vertical="center" wrapText="1"/>
    </xf>
    <xf numFmtId="167" fontId="36" fillId="4" borderId="36" xfId="1" applyNumberFormat="1" applyFont="1" applyFill="1" applyBorder="1" applyAlignment="1">
      <alignment horizontal="center" vertical="center" wrapText="1"/>
    </xf>
    <xf numFmtId="167" fontId="36" fillId="4" borderId="37" xfId="1" applyNumberFormat="1" applyFont="1" applyFill="1" applyBorder="1" applyAlignment="1">
      <alignment horizontal="center" vertical="center" wrapText="1"/>
    </xf>
    <xf numFmtId="167" fontId="36" fillId="4" borderId="38" xfId="1" applyNumberFormat="1" applyFont="1" applyFill="1" applyBorder="1" applyAlignment="1">
      <alignment horizontal="center" vertical="center" wrapText="1"/>
    </xf>
    <xf numFmtId="0" fontId="34" fillId="5" borderId="24" xfId="5" applyFont="1" applyFill="1" applyBorder="1" applyAlignment="1">
      <alignment vertical="center" wrapText="1"/>
    </xf>
    <xf numFmtId="0" fontId="34" fillId="5" borderId="24" xfId="5" applyFont="1" applyFill="1" applyBorder="1" applyAlignment="1">
      <alignment wrapText="1"/>
    </xf>
    <xf numFmtId="0" fontId="34" fillId="5" borderId="25" xfId="5" applyFont="1" applyFill="1" applyBorder="1"/>
    <xf numFmtId="0" fontId="34" fillId="5" borderId="7" xfId="5" applyFont="1" applyFill="1" applyBorder="1"/>
    <xf numFmtId="0" fontId="34" fillId="5" borderId="26" xfId="5" applyFont="1" applyFill="1" applyBorder="1"/>
    <xf numFmtId="0" fontId="36" fillId="0" borderId="21" xfId="1" applyFont="1" applyBorder="1" applyAlignment="1">
      <alignment horizontal="left" vertical="center" wrapText="1"/>
    </xf>
    <xf numFmtId="0" fontId="36" fillId="0" borderId="21" xfId="1" applyFont="1" applyBorder="1" applyAlignment="1">
      <alignment horizontal="center" vertical="center" wrapText="1"/>
    </xf>
    <xf numFmtId="167" fontId="36" fillId="0" borderId="22" xfId="1" applyNumberFormat="1" applyFont="1" applyBorder="1" applyAlignment="1">
      <alignment horizontal="center" vertical="center" wrapText="1"/>
    </xf>
    <xf numFmtId="167" fontId="36" fillId="0" borderId="4" xfId="1" applyNumberFormat="1" applyFont="1" applyBorder="1" applyAlignment="1">
      <alignment horizontal="center" vertical="center" wrapText="1"/>
    </xf>
    <xf numFmtId="167" fontId="36" fillId="0" borderId="23" xfId="1" applyNumberFormat="1" applyFont="1" applyBorder="1" applyAlignment="1">
      <alignment horizontal="center" vertical="center" wrapText="1"/>
    </xf>
    <xf numFmtId="0" fontId="36" fillId="0" borderId="21" xfId="1" applyFont="1" applyBorder="1" applyAlignment="1">
      <alignment vertical="center" wrapText="1"/>
    </xf>
    <xf numFmtId="1" fontId="36" fillId="0" borderId="39" xfId="6" applyNumberFormat="1" applyFont="1" applyBorder="1" applyAlignment="1">
      <alignment horizontal="center" vertical="center" wrapText="1"/>
    </xf>
    <xf numFmtId="1" fontId="36" fillId="0" borderId="2" xfId="6" applyNumberFormat="1" applyFont="1" applyBorder="1" applyAlignment="1">
      <alignment horizontal="center" vertical="center" wrapText="1"/>
    </xf>
    <xf numFmtId="1" fontId="36" fillId="0" borderId="40" xfId="6" applyNumberFormat="1" applyFont="1" applyBorder="1" applyAlignment="1">
      <alignment horizontal="center" vertical="center" wrapText="1"/>
    </xf>
    <xf numFmtId="167" fontId="36" fillId="0" borderId="29" xfId="1" applyNumberFormat="1" applyFont="1" applyBorder="1" applyAlignment="1">
      <alignment horizontal="center" vertical="center" wrapText="1"/>
    </xf>
    <xf numFmtId="167" fontId="36" fillId="0" borderId="3" xfId="1" applyNumberFormat="1" applyFont="1" applyBorder="1" applyAlignment="1">
      <alignment horizontal="center" vertical="center" wrapText="1"/>
    </xf>
    <xf numFmtId="167" fontId="36" fillId="0" borderId="28" xfId="1" applyNumberFormat="1" applyFont="1" applyBorder="1" applyAlignment="1">
      <alignment horizontal="center" vertical="center" wrapText="1"/>
    </xf>
    <xf numFmtId="1" fontId="0" fillId="0" borderId="0" xfId="1" applyNumberFormat="1" applyFont="1" applyAlignment="1">
      <alignment vertical="center"/>
    </xf>
    <xf numFmtId="1" fontId="36" fillId="0" borderId="22" xfId="6" applyNumberFormat="1" applyFont="1" applyBorder="1" applyAlignment="1">
      <alignment horizontal="center" vertical="center" wrapText="1"/>
    </xf>
    <xf numFmtId="1" fontId="36" fillId="0" borderId="4" xfId="6" applyNumberFormat="1" applyFont="1" applyBorder="1" applyAlignment="1">
      <alignment horizontal="center" vertical="center" wrapText="1"/>
    </xf>
    <xf numFmtId="1" fontId="36" fillId="0" borderId="23" xfId="6" applyNumberFormat="1" applyFont="1" applyBorder="1" applyAlignment="1">
      <alignment horizontal="center" vertical="center" wrapText="1"/>
    </xf>
    <xf numFmtId="0" fontId="36" fillId="0" borderId="41" xfId="1" applyFont="1" applyBorder="1" applyAlignment="1">
      <alignment horizontal="center" vertical="center" wrapText="1"/>
    </xf>
    <xf numFmtId="0" fontId="36" fillId="0" borderId="27" xfId="1" applyFont="1" applyBorder="1" applyAlignment="1">
      <alignment vertical="center" wrapText="1"/>
    </xf>
    <xf numFmtId="0" fontId="36" fillId="0" borderId="30" xfId="1" applyFont="1" applyBorder="1" applyAlignment="1">
      <alignment horizontal="center" vertical="center" wrapText="1"/>
    </xf>
    <xf numFmtId="0" fontId="36" fillId="0" borderId="13" xfId="1" applyFont="1" applyBorder="1" applyAlignment="1">
      <alignment vertical="center" wrapText="1"/>
    </xf>
    <xf numFmtId="0" fontId="36" fillId="0" borderId="42" xfId="1" applyFont="1" applyBorder="1" applyAlignment="1">
      <alignment horizontal="center" vertical="center" wrapText="1"/>
    </xf>
    <xf numFmtId="167" fontId="36" fillId="0" borderId="33" xfId="1" applyNumberFormat="1" applyFont="1" applyBorder="1" applyAlignment="1">
      <alignment horizontal="center" vertical="center" wrapText="1"/>
    </xf>
    <xf numFmtId="167" fontId="36" fillId="0" borderId="34" xfId="1" applyNumberFormat="1" applyFont="1" applyBorder="1" applyAlignment="1">
      <alignment horizontal="center" vertical="center" wrapText="1"/>
    </xf>
    <xf numFmtId="167" fontId="36" fillId="0" borderId="35" xfId="1" applyNumberFormat="1" applyFont="1" applyBorder="1" applyAlignment="1">
      <alignment horizontal="center" vertical="center" wrapText="1"/>
    </xf>
    <xf numFmtId="0" fontId="34" fillId="5" borderId="17" xfId="5" applyFont="1" applyFill="1" applyBorder="1" applyAlignment="1">
      <alignment vertical="center" wrapText="1"/>
    </xf>
    <xf numFmtId="0" fontId="34" fillId="5" borderId="17" xfId="5" applyFont="1" applyFill="1" applyBorder="1" applyAlignment="1">
      <alignment wrapText="1"/>
    </xf>
    <xf numFmtId="0" fontId="34" fillId="5" borderId="18" xfId="5" applyFont="1" applyFill="1" applyBorder="1"/>
    <xf numFmtId="0" fontId="34" fillId="5" borderId="19" xfId="5" applyFont="1" applyFill="1" applyBorder="1"/>
    <xf numFmtId="0" fontId="34" fillId="5" borderId="20" xfId="5" applyFont="1" applyFill="1" applyBorder="1"/>
    <xf numFmtId="1" fontId="36" fillId="0" borderId="22" xfId="1" applyNumberFormat="1" applyFont="1" applyBorder="1" applyAlignment="1">
      <alignment horizontal="center" vertical="center" wrapText="1"/>
    </xf>
    <xf numFmtId="1" fontId="36" fillId="0" borderId="4" xfId="1" applyNumberFormat="1" applyFont="1" applyBorder="1" applyAlignment="1">
      <alignment horizontal="center" vertical="center" wrapText="1"/>
    </xf>
    <xf numFmtId="1" fontId="36" fillId="0" borderId="23" xfId="1" applyNumberFormat="1" applyFont="1" applyBorder="1" applyAlignment="1">
      <alignment horizontal="center" vertical="center" wrapText="1"/>
    </xf>
    <xf numFmtId="167" fontId="36" fillId="0" borderId="22" xfId="1" applyNumberFormat="1" applyFont="1" applyBorder="1" applyAlignment="1">
      <alignment horizontal="center" vertical="center"/>
    </xf>
    <xf numFmtId="167" fontId="36" fillId="0" borderId="4" xfId="1" applyNumberFormat="1" applyFont="1" applyBorder="1" applyAlignment="1">
      <alignment horizontal="center" vertical="center"/>
    </xf>
    <xf numFmtId="167" fontId="36" fillId="0" borderId="23" xfId="1" applyNumberFormat="1" applyFont="1" applyBorder="1" applyAlignment="1">
      <alignment horizontal="center" vertical="center"/>
    </xf>
    <xf numFmtId="0" fontId="34" fillId="5" borderId="24" xfId="5" applyFont="1" applyFill="1" applyBorder="1" applyAlignment="1">
      <alignment horizontal="center" vertical="center" wrapText="1"/>
    </xf>
    <xf numFmtId="1" fontId="34" fillId="5" borderId="43" xfId="5" applyNumberFormat="1" applyFont="1" applyFill="1" applyBorder="1" applyAlignment="1">
      <alignment horizontal="center" vertical="center"/>
    </xf>
    <xf numFmtId="1" fontId="34" fillId="5" borderId="1" xfId="5" applyNumberFormat="1" applyFont="1" applyFill="1" applyBorder="1" applyAlignment="1">
      <alignment horizontal="center" vertical="center"/>
    </xf>
    <xf numFmtId="1" fontId="34" fillId="5" borderId="44" xfId="5" applyNumberFormat="1" applyFont="1" applyFill="1" applyBorder="1" applyAlignment="1">
      <alignment horizontal="center" vertical="center"/>
    </xf>
    <xf numFmtId="0" fontId="36" fillId="0" borderId="21" xfId="1" applyFont="1" applyBorder="1" applyAlignment="1">
      <alignment horizontal="center" vertical="top" wrapText="1"/>
    </xf>
    <xf numFmtId="167" fontId="36" fillId="0" borderId="22" xfId="1" applyNumberFormat="1" applyFont="1" applyBorder="1" applyAlignment="1">
      <alignment horizontal="center" vertical="top"/>
    </xf>
    <xf numFmtId="167" fontId="36" fillId="0" borderId="4" xfId="1" applyNumberFormat="1" applyFont="1" applyBorder="1" applyAlignment="1">
      <alignment horizontal="center" vertical="top"/>
    </xf>
    <xf numFmtId="167" fontId="36" fillId="0" borderId="23" xfId="1" applyNumberFormat="1" applyFont="1" applyBorder="1" applyAlignment="1">
      <alignment horizontal="center" vertical="top"/>
    </xf>
    <xf numFmtId="167" fontId="34" fillId="5" borderId="43" xfId="5" applyNumberFormat="1" applyFont="1" applyFill="1" applyBorder="1" applyAlignment="1">
      <alignment horizontal="center" vertical="center"/>
    </xf>
    <xf numFmtId="167" fontId="34" fillId="5" borderId="1" xfId="5" applyNumberFormat="1" applyFont="1" applyFill="1" applyBorder="1" applyAlignment="1">
      <alignment horizontal="center" vertical="center"/>
    </xf>
    <xf numFmtId="167" fontId="34" fillId="5" borderId="44" xfId="5" applyNumberFormat="1" applyFont="1" applyFill="1" applyBorder="1" applyAlignment="1">
      <alignment horizontal="center" vertical="center"/>
    </xf>
    <xf numFmtId="0" fontId="34" fillId="5" borderId="45" xfId="5" applyFont="1" applyFill="1" applyBorder="1" applyAlignment="1">
      <alignment vertical="center" wrapText="1"/>
    </xf>
    <xf numFmtId="0" fontId="34" fillId="5" borderId="45" xfId="5" applyFont="1" applyFill="1" applyBorder="1" applyAlignment="1">
      <alignment horizontal="center" vertical="center" wrapText="1"/>
    </xf>
    <xf numFmtId="167" fontId="34" fillId="5" borderId="2" xfId="5" applyNumberFormat="1" applyFont="1" applyFill="1" applyBorder="1" applyAlignment="1">
      <alignment horizontal="center" vertical="center"/>
    </xf>
    <xf numFmtId="167" fontId="34" fillId="5" borderId="40" xfId="5" applyNumberFormat="1" applyFont="1" applyFill="1" applyBorder="1" applyAlignment="1">
      <alignment horizontal="center" vertical="center"/>
    </xf>
    <xf numFmtId="0" fontId="36" fillId="0" borderId="13" xfId="1" applyFont="1" applyBorder="1" applyAlignment="1">
      <alignment horizontal="left" vertical="center" wrapText="1"/>
    </xf>
    <xf numFmtId="0" fontId="36" fillId="0" borderId="13" xfId="1" applyFont="1" applyBorder="1" applyAlignment="1">
      <alignment horizontal="center" vertical="center" wrapText="1"/>
    </xf>
    <xf numFmtId="1" fontId="36" fillId="0" borderId="33" xfId="1" applyNumberFormat="1" applyFont="1" applyBorder="1" applyAlignment="1">
      <alignment horizontal="center" vertical="center" wrapText="1"/>
    </xf>
    <xf numFmtId="1" fontId="36" fillId="0" borderId="34" xfId="1" applyNumberFormat="1" applyFont="1" applyBorder="1" applyAlignment="1">
      <alignment horizontal="center" vertical="center" wrapText="1"/>
    </xf>
    <xf numFmtId="1" fontId="36" fillId="0" borderId="35" xfId="1" applyNumberFormat="1" applyFont="1" applyBorder="1" applyAlignment="1">
      <alignment horizontal="center" vertical="center" wrapText="1"/>
    </xf>
    <xf numFmtId="0" fontId="34" fillId="5" borderId="17" xfId="5" applyFont="1" applyFill="1" applyBorder="1" applyAlignment="1">
      <alignment horizontal="center" vertical="center" wrapText="1"/>
    </xf>
    <xf numFmtId="1" fontId="34" fillId="5" borderId="18" xfId="5" applyNumberFormat="1" applyFont="1" applyFill="1" applyBorder="1" applyAlignment="1">
      <alignment horizontal="center" vertical="center"/>
    </xf>
    <xf numFmtId="1" fontId="34" fillId="5" borderId="19" xfId="5" applyNumberFormat="1" applyFont="1" applyFill="1" applyBorder="1" applyAlignment="1">
      <alignment horizontal="center" vertical="center"/>
    </xf>
    <xf numFmtId="1" fontId="34" fillId="5" borderId="20" xfId="5" applyNumberFormat="1" applyFont="1" applyFill="1" applyBorder="1" applyAlignment="1">
      <alignment horizontal="center" vertical="center"/>
    </xf>
    <xf numFmtId="0" fontId="36" fillId="0" borderId="27" xfId="1" applyFont="1" applyBorder="1" applyAlignment="1">
      <alignment horizontal="center" vertical="center" wrapText="1"/>
    </xf>
    <xf numFmtId="1" fontId="34" fillId="5" borderId="25" xfId="5" applyNumberFormat="1" applyFont="1" applyFill="1" applyBorder="1" applyAlignment="1">
      <alignment horizontal="center" vertical="center"/>
    </xf>
    <xf numFmtId="1" fontId="34" fillId="5" borderId="7" xfId="5" applyNumberFormat="1" applyFont="1" applyFill="1" applyBorder="1" applyAlignment="1">
      <alignment horizontal="center" vertical="center"/>
    </xf>
    <xf numFmtId="1" fontId="34" fillId="5" borderId="26" xfId="5" applyNumberFormat="1" applyFont="1" applyFill="1" applyBorder="1" applyAlignment="1">
      <alignment horizontal="center" vertical="center"/>
    </xf>
    <xf numFmtId="0" fontId="34" fillId="5" borderId="46" xfId="5" applyFont="1" applyFill="1" applyBorder="1" applyAlignment="1">
      <alignment vertical="center" wrapText="1"/>
    </xf>
    <xf numFmtId="0" fontId="34" fillId="5" borderId="46" xfId="5" applyFont="1" applyFill="1" applyBorder="1" applyAlignment="1">
      <alignment horizontal="center" vertical="center" wrapText="1"/>
    </xf>
    <xf numFmtId="167" fontId="34" fillId="5" borderId="14" xfId="5" applyNumberFormat="1" applyFont="1" applyFill="1" applyBorder="1" applyAlignment="1">
      <alignment horizontal="center" vertical="center"/>
    </xf>
    <xf numFmtId="167" fontId="34" fillId="5" borderId="15" xfId="5" applyNumberFormat="1" applyFont="1" applyFill="1" applyBorder="1" applyAlignment="1">
      <alignment horizontal="center" vertical="center"/>
    </xf>
    <xf numFmtId="167" fontId="34" fillId="5" borderId="16" xfId="5" applyNumberFormat="1" applyFont="1" applyFill="1" applyBorder="1" applyAlignment="1">
      <alignment horizontal="center" vertical="center"/>
    </xf>
    <xf numFmtId="0" fontId="47" fillId="0" borderId="0" xfId="1" applyFont="1" applyAlignment="1">
      <alignment vertical="center"/>
    </xf>
    <xf numFmtId="0" fontId="47" fillId="0" borderId="0" xfId="1" applyFont="1" applyAlignment="1">
      <alignment horizontal="left" vertical="center"/>
    </xf>
    <xf numFmtId="168" fontId="13" fillId="0" borderId="1" xfId="0" applyNumberFormat="1" applyFont="1" applyFill="1" applyBorder="1" applyAlignment="1">
      <alignment horizontal="right" vertical="center"/>
    </xf>
    <xf numFmtId="168" fontId="13" fillId="0" borderId="1" xfId="0" applyNumberFormat="1" applyFont="1" applyFill="1" applyBorder="1" applyAlignment="1" applyProtection="1">
      <alignment horizontal="right" vertical="center"/>
    </xf>
    <xf numFmtId="168" fontId="13" fillId="0" borderId="1" xfId="0" applyNumberFormat="1" applyFont="1" applyBorder="1" applyAlignment="1">
      <alignment horizontal="right" vertical="center" wrapText="1"/>
    </xf>
    <xf numFmtId="168" fontId="16" fillId="0" borderId="1" xfId="0" applyNumberFormat="1" applyFont="1" applyFill="1" applyBorder="1" applyAlignment="1">
      <alignment horizontal="right" vertical="center"/>
    </xf>
    <xf numFmtId="168" fontId="13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 applyProtection="1">
      <alignment horizontal="right" vertical="center" wrapText="1"/>
    </xf>
    <xf numFmtId="167" fontId="16" fillId="0" borderId="1" xfId="0" applyNumberFormat="1" applyFont="1" applyFill="1" applyBorder="1" applyAlignment="1" applyProtection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168" fontId="13" fillId="0" borderId="3" xfId="0" applyNumberFormat="1" applyFont="1" applyFill="1" applyBorder="1" applyAlignment="1">
      <alignment horizontal="right" vertical="center" wrapText="1"/>
    </xf>
    <xf numFmtId="3" fontId="13" fillId="0" borderId="3" xfId="0" applyNumberFormat="1" applyFont="1" applyFill="1" applyBorder="1" applyAlignment="1">
      <alignment horizontal="right" vertical="center" wrapText="1"/>
    </xf>
    <xf numFmtId="167" fontId="16" fillId="0" borderId="1" xfId="0" applyNumberFormat="1" applyFont="1" applyBorder="1" applyAlignment="1">
      <alignment horizontal="right" vertical="center" wrapText="1"/>
    </xf>
    <xf numFmtId="1" fontId="16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168" fontId="21" fillId="0" borderId="1" xfId="0" applyNumberFormat="1" applyFont="1" applyFill="1" applyBorder="1" applyAlignment="1">
      <alignment horizontal="right" vertical="center" wrapText="1"/>
    </xf>
    <xf numFmtId="0" fontId="53" fillId="0" borderId="49" xfId="0" applyFont="1" applyFill="1" applyBorder="1"/>
    <xf numFmtId="167" fontId="53" fillId="0" borderId="51" xfId="0" applyNumberFormat="1" applyFont="1" applyFill="1" applyBorder="1" applyAlignment="1">
      <alignment horizontal="center"/>
    </xf>
    <xf numFmtId="167" fontId="53" fillId="0" borderId="52" xfId="0" applyNumberFormat="1" applyFont="1" applyFill="1" applyBorder="1" applyAlignment="1">
      <alignment horizontal="center"/>
    </xf>
    <xf numFmtId="0" fontId="54" fillId="0" borderId="2" xfId="0" applyFont="1" applyFill="1" applyBorder="1"/>
    <xf numFmtId="1" fontId="53" fillId="0" borderId="49" xfId="0" applyNumberFormat="1" applyFont="1" applyFill="1" applyBorder="1" applyAlignment="1">
      <alignment horizontal="center"/>
    </xf>
    <xf numFmtId="1" fontId="53" fillId="0" borderId="51" xfId="0" applyNumberFormat="1" applyFont="1" applyFill="1" applyBorder="1" applyAlignment="1">
      <alignment horizontal="center"/>
    </xf>
    <xf numFmtId="0" fontId="51" fillId="0" borderId="59" xfId="0" applyFont="1" applyFill="1" applyBorder="1" applyAlignment="1">
      <alignment horizontal="center" vertical="center"/>
    </xf>
    <xf numFmtId="0" fontId="54" fillId="0" borderId="3" xfId="0" applyFont="1" applyFill="1" applyBorder="1"/>
    <xf numFmtId="0" fontId="51" fillId="0" borderId="17" xfId="0" applyFont="1" applyFill="1" applyBorder="1" applyAlignment="1">
      <alignment horizontal="center" vertical="center"/>
    </xf>
    <xf numFmtId="1" fontId="53" fillId="0" borderId="52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right" vertical="center" wrapText="1"/>
    </xf>
    <xf numFmtId="168" fontId="16" fillId="0" borderId="1" xfId="0" applyNumberFormat="1" applyFont="1" applyFill="1" applyBorder="1" applyAlignment="1">
      <alignment horizontal="right" vertical="center" wrapText="1"/>
    </xf>
    <xf numFmtId="168" fontId="16" fillId="4" borderId="1" xfId="0" applyNumberFormat="1" applyFont="1" applyFill="1" applyBorder="1" applyAlignment="1">
      <alignment horizontal="right" vertical="center" wrapText="1"/>
    </xf>
    <xf numFmtId="1" fontId="16" fillId="0" borderId="1" xfId="0" applyNumberFormat="1" applyFont="1" applyFill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/>
    <xf numFmtId="168" fontId="13" fillId="0" borderId="1" xfId="0" applyNumberFormat="1" applyFont="1" applyFill="1" applyBorder="1" applyAlignment="1" applyProtection="1">
      <alignment horizontal="right" vertical="center" wrapText="1"/>
    </xf>
    <xf numFmtId="4" fontId="13" fillId="0" borderId="1" xfId="0" applyNumberFormat="1" applyFont="1" applyFill="1" applyBorder="1" applyAlignment="1" applyProtection="1">
      <alignment horizontal="right" vertical="center" wrapText="1"/>
    </xf>
    <xf numFmtId="168" fontId="13" fillId="0" borderId="0" xfId="0" applyNumberFormat="1" applyFont="1" applyFill="1" applyBorder="1" applyAlignment="1">
      <alignment horizontal="right" vertical="center" wrapText="1"/>
    </xf>
    <xf numFmtId="167" fontId="16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0" fillId="0" borderId="0" xfId="0" applyFill="1"/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3" fillId="6" borderId="1" xfId="0" applyFont="1" applyFill="1" applyBorder="1" applyAlignment="1" applyProtection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4" fontId="16" fillId="6" borderId="1" xfId="0" applyNumberFormat="1" applyFont="1" applyFill="1" applyBorder="1" applyAlignment="1" applyProtection="1">
      <alignment horizontal="right" vertical="center" wrapText="1"/>
    </xf>
    <xf numFmtId="4" fontId="16" fillId="6" borderId="1" xfId="0" applyNumberFormat="1" applyFont="1" applyFill="1" applyBorder="1" applyAlignment="1" applyProtection="1">
      <alignment horizontal="right" vertical="center"/>
    </xf>
    <xf numFmtId="4" fontId="16" fillId="6" borderId="1" xfId="0" applyNumberFormat="1" applyFont="1" applyFill="1" applyBorder="1" applyAlignment="1">
      <alignment horizontal="right" vertical="center" wrapText="1"/>
    </xf>
    <xf numFmtId="2" fontId="11" fillId="6" borderId="0" xfId="0" applyNumberFormat="1" applyFont="1" applyFill="1" applyBorder="1" applyAlignment="1" applyProtection="1">
      <alignment horizontal="right"/>
      <protection locked="0"/>
    </xf>
    <xf numFmtId="0" fontId="10" fillId="6" borderId="0" xfId="0" applyFont="1" applyFill="1" applyBorder="1" applyProtection="1"/>
    <xf numFmtId="0" fontId="10" fillId="6" borderId="0" xfId="0" applyFont="1" applyFill="1" applyProtection="1"/>
    <xf numFmtId="0" fontId="13" fillId="6" borderId="1" xfId="0" applyFont="1" applyFill="1" applyBorder="1" applyAlignment="1">
      <alignment horizontal="left" vertical="center" wrapText="1" indent="1"/>
    </xf>
    <xf numFmtId="2" fontId="10" fillId="6" borderId="0" xfId="0" applyNumberFormat="1" applyFont="1" applyFill="1" applyBorder="1" applyAlignment="1" applyProtection="1">
      <alignment horizontal="right" vertical="center"/>
    </xf>
    <xf numFmtId="0" fontId="16" fillId="6" borderId="1" xfId="0" applyFont="1" applyFill="1" applyBorder="1" applyAlignment="1" applyProtection="1">
      <alignment horizontal="center" vertical="center" wrapText="1"/>
    </xf>
    <xf numFmtId="0" fontId="16" fillId="6" borderId="1" xfId="0" applyFont="1" applyFill="1" applyBorder="1" applyAlignment="1" applyProtection="1">
      <alignment horizontal="left" vertical="center" wrapText="1"/>
    </xf>
    <xf numFmtId="0" fontId="16" fillId="6" borderId="1" xfId="0" applyFont="1" applyFill="1" applyBorder="1" applyAlignment="1">
      <alignment horizontal="left" vertical="center" wrapText="1" indent="1"/>
    </xf>
    <xf numFmtId="4" fontId="16" fillId="6" borderId="1" xfId="0" applyNumberFormat="1" applyFont="1" applyFill="1" applyBorder="1" applyAlignment="1">
      <alignment horizontal="right" vertical="center"/>
    </xf>
    <xf numFmtId="0" fontId="0" fillId="6" borderId="0" xfId="0" applyFill="1" applyBorder="1"/>
    <xf numFmtId="0" fontId="0" fillId="6" borderId="0" xfId="0" applyFill="1"/>
    <xf numFmtId="0" fontId="7" fillId="6" borderId="0" xfId="0" applyFont="1" applyFill="1" applyBorder="1"/>
    <xf numFmtId="0" fontId="7" fillId="6" borderId="0" xfId="0" applyFont="1" applyFill="1"/>
    <xf numFmtId="0" fontId="8" fillId="6" borderId="0" xfId="0" applyFont="1" applyFill="1" applyBorder="1"/>
    <xf numFmtId="0" fontId="8" fillId="6" borderId="0" xfId="0" applyFont="1" applyFill="1"/>
    <xf numFmtId="168" fontId="16" fillId="0" borderId="1" xfId="0" applyNumberFormat="1" applyFont="1" applyFill="1" applyBorder="1" applyAlignment="1" applyProtection="1">
      <alignment horizontal="right" vertical="center" wrapText="1"/>
    </xf>
    <xf numFmtId="168" fontId="16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0" fillId="0" borderId="0" xfId="0" applyFill="1"/>
    <xf numFmtId="4" fontId="16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 indent="1"/>
    </xf>
    <xf numFmtId="0" fontId="51" fillId="0" borderId="0" xfId="0" applyFont="1" applyFill="1"/>
    <xf numFmtId="0" fontId="50" fillId="0" borderId="0" xfId="0" applyFont="1" applyFill="1"/>
    <xf numFmtId="0" fontId="51" fillId="0" borderId="52" xfId="0" applyFont="1" applyFill="1" applyBorder="1" applyAlignment="1">
      <alignment horizontal="center"/>
    </xf>
    <xf numFmtId="0" fontId="51" fillId="0" borderId="51" xfId="0" applyFont="1" applyFill="1" applyBorder="1" applyAlignment="1">
      <alignment horizontal="center" vertical="center"/>
    </xf>
    <xf numFmtId="0" fontId="51" fillId="0" borderId="52" xfId="0" applyFont="1" applyFill="1" applyBorder="1" applyAlignment="1">
      <alignment horizontal="center" vertical="center"/>
    </xf>
    <xf numFmtId="0" fontId="51" fillId="0" borderId="53" xfId="0" applyFont="1" applyFill="1" applyBorder="1" applyAlignment="1">
      <alignment horizontal="center" vertical="center"/>
    </xf>
    <xf numFmtId="0" fontId="51" fillId="0" borderId="54" xfId="0" applyFont="1" applyFill="1" applyBorder="1" applyAlignment="1">
      <alignment horizontal="center" vertical="center"/>
    </xf>
    <xf numFmtId="0" fontId="50" fillId="0" borderId="47" xfId="0" applyFont="1" applyFill="1" applyBorder="1"/>
    <xf numFmtId="0" fontId="50" fillId="0" borderId="2" xfId="0" applyFont="1" applyFill="1" applyBorder="1"/>
    <xf numFmtId="0" fontId="50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  <xf numFmtId="0" fontId="51" fillId="0" borderId="51" xfId="0" applyFont="1" applyFill="1" applyBorder="1"/>
    <xf numFmtId="0" fontId="51" fillId="0" borderId="49" xfId="0" applyFont="1" applyFill="1" applyBorder="1"/>
    <xf numFmtId="167" fontId="51" fillId="0" borderId="50" xfId="0" applyNumberFormat="1" applyFont="1" applyFill="1" applyBorder="1" applyAlignment="1">
      <alignment horizontal="center"/>
    </xf>
    <xf numFmtId="2" fontId="51" fillId="0" borderId="54" xfId="0" applyNumberFormat="1" applyFont="1" applyFill="1" applyBorder="1" applyAlignment="1">
      <alignment horizontal="center"/>
    </xf>
    <xf numFmtId="167" fontId="51" fillId="0" borderId="49" xfId="0" applyNumberFormat="1" applyFont="1" applyFill="1" applyBorder="1" applyAlignment="1">
      <alignment horizontal="center"/>
    </xf>
    <xf numFmtId="1" fontId="51" fillId="0" borderId="49" xfId="0" applyNumberFormat="1" applyFont="1" applyFill="1" applyBorder="1" applyAlignment="1">
      <alignment horizontal="center"/>
    </xf>
    <xf numFmtId="1" fontId="51" fillId="0" borderId="51" xfId="0" applyNumberFormat="1" applyFont="1" applyFill="1" applyBorder="1" applyAlignment="1">
      <alignment horizontal="center"/>
    </xf>
    <xf numFmtId="1" fontId="51" fillId="0" borderId="52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justify"/>
    </xf>
    <xf numFmtId="0" fontId="13" fillId="0" borderId="0" xfId="0" applyFont="1" applyFill="1"/>
    <xf numFmtId="0" fontId="54" fillId="0" borderId="2" xfId="0" applyFont="1" applyFill="1" applyBorder="1" applyAlignment="1">
      <alignment horizontal="center" vertical="center" wrapText="1"/>
    </xf>
    <xf numFmtId="0" fontId="52" fillId="0" borderId="49" xfId="0" applyFont="1" applyFill="1" applyBorder="1" applyAlignment="1">
      <alignment horizontal="left" vertical="center" wrapText="1" indent="1"/>
    </xf>
    <xf numFmtId="0" fontId="52" fillId="0" borderId="50" xfId="0" applyFont="1" applyFill="1" applyBorder="1" applyAlignment="1">
      <alignment horizontal="center" vertical="center" wrapText="1"/>
    </xf>
    <xf numFmtId="0" fontId="53" fillId="0" borderId="50" xfId="0" applyFont="1" applyFill="1" applyBorder="1" applyAlignment="1">
      <alignment horizontal="center"/>
    </xf>
    <xf numFmtId="0" fontId="53" fillId="0" borderId="51" xfId="0" applyFont="1" applyFill="1" applyBorder="1" applyAlignment="1">
      <alignment horizontal="center"/>
    </xf>
    <xf numFmtId="167" fontId="53" fillId="0" borderId="50" xfId="0" applyNumberFormat="1" applyFont="1" applyFill="1" applyBorder="1" applyAlignment="1">
      <alignment horizontal="center"/>
    </xf>
    <xf numFmtId="167" fontId="53" fillId="0" borderId="54" xfId="0" applyNumberFormat="1" applyFont="1" applyFill="1" applyBorder="1" applyAlignment="1">
      <alignment horizontal="center"/>
    </xf>
    <xf numFmtId="167" fontId="53" fillId="0" borderId="49" xfId="0" applyNumberFormat="1" applyFont="1" applyFill="1" applyBorder="1" applyAlignment="1">
      <alignment horizontal="center"/>
    </xf>
    <xf numFmtId="0" fontId="54" fillId="0" borderId="0" xfId="0" applyFont="1" applyFill="1"/>
    <xf numFmtId="0" fontId="54" fillId="0" borderId="2" xfId="0" applyFont="1" applyFill="1" applyBorder="1" applyAlignment="1">
      <alignment horizontal="left" vertical="center" wrapText="1"/>
    </xf>
    <xf numFmtId="0" fontId="54" fillId="0" borderId="47" xfId="0" applyFont="1" applyFill="1" applyBorder="1" applyAlignment="1">
      <alignment horizontal="center" vertical="center" wrapText="1"/>
    </xf>
    <xf numFmtId="0" fontId="54" fillId="0" borderId="29" xfId="0" applyFont="1" applyFill="1" applyBorder="1" applyAlignment="1">
      <alignment vertical="top" wrapText="1"/>
    </xf>
    <xf numFmtId="0" fontId="53" fillId="0" borderId="56" xfId="0" applyFont="1" applyFill="1" applyBorder="1"/>
    <xf numFmtId="0" fontId="54" fillId="0" borderId="4" xfId="0" applyFont="1" applyFill="1" applyBorder="1"/>
    <xf numFmtId="167" fontId="54" fillId="0" borderId="4" xfId="0" applyNumberFormat="1" applyFont="1" applyFill="1" applyBorder="1"/>
    <xf numFmtId="167" fontId="54" fillId="0" borderId="4" xfId="0" applyNumberFormat="1" applyFont="1" applyFill="1" applyBorder="1" applyAlignment="1">
      <alignment horizontal="center"/>
    </xf>
    <xf numFmtId="2" fontId="54" fillId="0" borderId="57" xfId="0" applyNumberFormat="1" applyFont="1" applyFill="1" applyBorder="1" applyAlignment="1">
      <alignment horizontal="center"/>
    </xf>
    <xf numFmtId="0" fontId="53" fillId="0" borderId="0" xfId="0" applyFont="1" applyFill="1"/>
    <xf numFmtId="0" fontId="53" fillId="0" borderId="0" xfId="0" applyFont="1" applyFill="1" applyAlignment="1">
      <alignment horizontal="center"/>
    </xf>
    <xf numFmtId="0" fontId="53" fillId="0" borderId="52" xfId="0" applyFont="1" applyFill="1" applyBorder="1" applyAlignment="1">
      <alignment horizontal="center"/>
    </xf>
    <xf numFmtId="0" fontId="53" fillId="0" borderId="51" xfId="0" applyFont="1" applyFill="1" applyBorder="1" applyAlignment="1">
      <alignment horizontal="center" vertical="center"/>
    </xf>
    <xf numFmtId="0" fontId="53" fillId="0" borderId="52" xfId="0" applyFont="1" applyFill="1" applyBorder="1" applyAlignment="1">
      <alignment horizontal="center" vertical="center"/>
    </xf>
    <xf numFmtId="0" fontId="53" fillId="0" borderId="53" xfId="0" applyFont="1" applyFill="1" applyBorder="1" applyAlignment="1">
      <alignment horizontal="center" vertical="center"/>
    </xf>
    <xf numFmtId="0" fontId="53" fillId="0" borderId="54" xfId="0" applyFont="1" applyFill="1" applyBorder="1" applyAlignment="1">
      <alignment horizontal="center" vertical="center"/>
    </xf>
    <xf numFmtId="0" fontId="54" fillId="0" borderId="48" xfId="0" applyFont="1" applyFill="1" applyBorder="1"/>
    <xf numFmtId="0" fontId="54" fillId="0" borderId="48" xfId="0" applyFont="1" applyFill="1" applyBorder="1" applyAlignment="1">
      <alignment horizontal="center" vertical="center"/>
    </xf>
    <xf numFmtId="0" fontId="54" fillId="0" borderId="47" xfId="0" applyFont="1" applyFill="1" applyBorder="1"/>
    <xf numFmtId="2" fontId="54" fillId="0" borderId="3" xfId="0" applyNumberFormat="1" applyFont="1" applyFill="1" applyBorder="1" applyAlignment="1">
      <alignment horizontal="center"/>
    </xf>
    <xf numFmtId="2" fontId="54" fillId="0" borderId="48" xfId="0" applyNumberFormat="1" applyFont="1" applyFill="1" applyBorder="1" applyAlignment="1">
      <alignment horizontal="center"/>
    </xf>
    <xf numFmtId="167" fontId="54" fillId="0" borderId="48" xfId="0" applyNumberFormat="1" applyFont="1" applyFill="1" applyBorder="1" applyAlignment="1">
      <alignment horizontal="center"/>
    </xf>
    <xf numFmtId="0" fontId="53" fillId="0" borderId="51" xfId="0" applyFont="1" applyFill="1" applyBorder="1"/>
    <xf numFmtId="2" fontId="53" fillId="0" borderId="54" xfId="0" applyNumberFormat="1" applyFont="1" applyFill="1" applyBorder="1" applyAlignment="1">
      <alignment horizontal="center"/>
    </xf>
    <xf numFmtId="0" fontId="54" fillId="0" borderId="0" xfId="0" applyFont="1" applyFill="1" applyAlignment="1">
      <alignment horizontal="justify"/>
    </xf>
    <xf numFmtId="0" fontId="54" fillId="0" borderId="0" xfId="0" applyFont="1" applyFill="1" applyAlignment="1">
      <alignment horizontal="center"/>
    </xf>
    <xf numFmtId="0" fontId="50" fillId="0" borderId="0" xfId="0" applyFont="1" applyFill="1" applyAlignment="1">
      <alignment horizontal="right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right" vertical="center" wrapText="1"/>
    </xf>
    <xf numFmtId="168" fontId="21" fillId="0" borderId="1" xfId="0" applyNumberFormat="1" applyFont="1" applyFill="1" applyBorder="1" applyAlignment="1">
      <alignment horizontal="right" vertical="center"/>
    </xf>
    <xf numFmtId="168" fontId="16" fillId="0" borderId="1" xfId="0" applyNumberFormat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</xf>
    <xf numFmtId="168" fontId="13" fillId="0" borderId="1" xfId="0" applyNumberFormat="1" applyFont="1" applyFill="1" applyBorder="1" applyAlignment="1">
      <alignment horizontal="right" vertical="center" wrapText="1"/>
    </xf>
    <xf numFmtId="167" fontId="16" fillId="0" borderId="1" xfId="0" applyNumberFormat="1" applyFont="1" applyFill="1" applyBorder="1" applyAlignment="1">
      <alignment horizontal="right" vertical="center" wrapText="1"/>
    </xf>
    <xf numFmtId="0" fontId="54" fillId="0" borderId="1" xfId="0" applyFont="1" applyFill="1" applyBorder="1" applyAlignment="1">
      <alignment horizontal="left" vertical="center" wrapText="1"/>
    </xf>
    <xf numFmtId="0" fontId="54" fillId="0" borderId="1" xfId="0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 vertical="top" wrapText="1"/>
    </xf>
    <xf numFmtId="0" fontId="53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/>
    <xf numFmtId="0" fontId="54" fillId="0" borderId="2" xfId="0" applyFont="1" applyFill="1" applyBorder="1" applyAlignment="1">
      <alignment horizontal="center" vertical="center"/>
    </xf>
    <xf numFmtId="167" fontId="54" fillId="0" borderId="47" xfId="0" applyNumberFormat="1" applyFont="1" applyFill="1" applyBorder="1" applyAlignment="1">
      <alignment horizontal="center" vertical="center"/>
    </xf>
    <xf numFmtId="0" fontId="54" fillId="0" borderId="5" xfId="0" applyFont="1" applyFill="1" applyBorder="1"/>
    <xf numFmtId="0" fontId="55" fillId="0" borderId="1" xfId="0" applyFont="1" applyFill="1" applyBorder="1"/>
    <xf numFmtId="0" fontId="55" fillId="0" borderId="1" xfId="0" applyFont="1" applyFill="1" applyBorder="1" applyAlignment="1">
      <alignment horizontal="center" vertical="center" wrapText="1"/>
    </xf>
    <xf numFmtId="167" fontId="55" fillId="0" borderId="1" xfId="0" applyNumberFormat="1" applyFont="1" applyFill="1" applyBorder="1"/>
    <xf numFmtId="167" fontId="55" fillId="0" borderId="1" xfId="0" applyNumberFormat="1" applyFont="1" applyFill="1" applyBorder="1" applyAlignment="1">
      <alignment horizontal="center"/>
    </xf>
    <xf numFmtId="167" fontId="54" fillId="0" borderId="1" xfId="0" applyNumberFormat="1" applyFont="1" applyFill="1" applyBorder="1" applyAlignment="1">
      <alignment horizontal="center"/>
    </xf>
    <xf numFmtId="2" fontId="54" fillId="0" borderId="1" xfId="0" applyNumberFormat="1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 vertical="center"/>
    </xf>
    <xf numFmtId="0" fontId="54" fillId="0" borderId="3" xfId="0" applyFont="1" applyFill="1" applyBorder="1" applyAlignment="1">
      <alignment horizontal="center" vertical="center"/>
    </xf>
    <xf numFmtId="0" fontId="54" fillId="0" borderId="47" xfId="0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wrapText="1"/>
    </xf>
    <xf numFmtId="0" fontId="54" fillId="0" borderId="4" xfId="0" applyFont="1" applyFill="1" applyBorder="1" applyAlignment="1">
      <alignment horizontal="center" vertical="center"/>
    </xf>
    <xf numFmtId="0" fontId="54" fillId="0" borderId="5" xfId="0" applyFont="1" applyFill="1" applyBorder="1" applyAlignment="1">
      <alignment horizontal="center" vertical="center"/>
    </xf>
    <xf numFmtId="167" fontId="54" fillId="0" borderId="3" xfId="0" applyNumberFormat="1" applyFont="1" applyFill="1" applyBorder="1" applyAlignment="1">
      <alignment horizontal="center" vertical="center" wrapText="1"/>
    </xf>
    <xf numFmtId="167" fontId="54" fillId="0" borderId="4" xfId="0" applyNumberFormat="1" applyFont="1" applyFill="1" applyBorder="1" applyAlignment="1">
      <alignment horizontal="center" vertical="center" wrapText="1"/>
    </xf>
    <xf numFmtId="0" fontId="53" fillId="0" borderId="52" xfId="0" applyFont="1" applyFill="1" applyBorder="1"/>
    <xf numFmtId="0" fontId="53" fillId="0" borderId="55" xfId="0" applyFont="1" applyFill="1" applyBorder="1"/>
    <xf numFmtId="0" fontId="53" fillId="0" borderId="58" xfId="0" applyFont="1" applyFill="1" applyBorder="1"/>
    <xf numFmtId="167" fontId="54" fillId="0" borderId="2" xfId="0" applyNumberFormat="1" applyFont="1" applyFill="1" applyBorder="1"/>
    <xf numFmtId="167" fontId="54" fillId="0" borderId="2" xfId="0" applyNumberFormat="1" applyFont="1" applyFill="1" applyBorder="1" applyAlignment="1">
      <alignment horizontal="center"/>
    </xf>
    <xf numFmtId="2" fontId="54" fillId="0" borderId="47" xfId="0" applyNumberFormat="1" applyFont="1" applyFill="1" applyBorder="1" applyAlignment="1">
      <alignment horizontal="center"/>
    </xf>
    <xf numFmtId="2" fontId="54" fillId="0" borderId="5" xfId="0" applyNumberFormat="1" applyFont="1" applyFill="1" applyBorder="1" applyAlignment="1">
      <alignment horizontal="center"/>
    </xf>
    <xf numFmtId="167" fontId="54" fillId="0" borderId="48" xfId="0" applyNumberFormat="1" applyFont="1" applyFill="1" applyBorder="1" applyAlignment="1">
      <alignment horizontal="center" vertical="center"/>
    </xf>
    <xf numFmtId="167" fontId="54" fillId="0" borderId="1" xfId="0" applyNumberFormat="1" applyFont="1" applyFill="1" applyBorder="1" applyAlignment="1">
      <alignment horizontal="center" vertical="center"/>
    </xf>
    <xf numFmtId="167" fontId="54" fillId="0" borderId="5" xfId="0" applyNumberFormat="1" applyFont="1" applyFill="1" applyBorder="1" applyAlignment="1">
      <alignment horizontal="center" vertical="center"/>
    </xf>
    <xf numFmtId="167" fontId="54" fillId="0" borderId="5" xfId="0" applyNumberFormat="1" applyFont="1" applyFill="1" applyBorder="1" applyAlignment="1">
      <alignment horizontal="center"/>
    </xf>
    <xf numFmtId="167" fontId="54" fillId="0" borderId="47" xfId="0" applyNumberFormat="1" applyFont="1" applyFill="1" applyBorder="1" applyAlignment="1">
      <alignment horizontal="center"/>
    </xf>
    <xf numFmtId="2" fontId="54" fillId="0" borderId="2" xfId="0" applyNumberFormat="1" applyFont="1" applyFill="1" applyBorder="1" applyAlignment="1">
      <alignment horizontal="center"/>
    </xf>
    <xf numFmtId="167" fontId="54" fillId="0" borderId="2" xfId="0" applyNumberFormat="1" applyFont="1" applyFill="1" applyBorder="1" applyAlignment="1">
      <alignment horizontal="center" vertical="center"/>
    </xf>
    <xf numFmtId="2" fontId="54" fillId="0" borderId="4" xfId="0" applyNumberFormat="1" applyFont="1" applyFill="1" applyBorder="1" applyAlignment="1">
      <alignment horizontal="center"/>
    </xf>
    <xf numFmtId="0" fontId="54" fillId="0" borderId="2" xfId="0" applyFont="1" applyFill="1" applyBorder="1" applyAlignment="1">
      <alignment wrapText="1"/>
    </xf>
    <xf numFmtId="2" fontId="50" fillId="0" borderId="1" xfId="0" applyNumberFormat="1" applyFont="1" applyFill="1" applyBorder="1" applyAlignment="1">
      <alignment horizontal="center"/>
    </xf>
    <xf numFmtId="0" fontId="50" fillId="0" borderId="1" xfId="0" applyFont="1" applyFill="1" applyBorder="1" applyAlignment="1">
      <alignment horizontal="center"/>
    </xf>
    <xf numFmtId="0" fontId="50" fillId="0" borderId="1" xfId="0" applyFont="1" applyFill="1" applyBorder="1" applyAlignment="1">
      <alignment horizontal="center" vertical="center"/>
    </xf>
    <xf numFmtId="0" fontId="50" fillId="0" borderId="2" xfId="0" applyFont="1" applyFill="1" applyBorder="1" applyAlignment="1">
      <alignment horizontal="center" vertical="center"/>
    </xf>
    <xf numFmtId="0" fontId="50" fillId="0" borderId="47" xfId="0" applyFont="1" applyFill="1" applyBorder="1" applyAlignment="1">
      <alignment horizontal="center" vertical="center"/>
    </xf>
    <xf numFmtId="0" fontId="50" fillId="0" borderId="5" xfId="0" applyFont="1" applyFill="1" applyBorder="1" applyAlignment="1">
      <alignment horizontal="center" vertical="center"/>
    </xf>
    <xf numFmtId="0" fontId="50" fillId="0" borderId="3" xfId="0" applyFont="1" applyFill="1" applyBorder="1" applyAlignment="1">
      <alignment horizontal="center" vertical="center"/>
    </xf>
    <xf numFmtId="0" fontId="50" fillId="0" borderId="4" xfId="0" applyFont="1" applyFill="1" applyBorder="1" applyAlignment="1">
      <alignment horizontal="center" vertical="center"/>
    </xf>
    <xf numFmtId="2" fontId="50" fillId="0" borderId="3" xfId="0" applyNumberFormat="1" applyFont="1" applyFill="1" applyBorder="1" applyAlignment="1">
      <alignment horizontal="center"/>
    </xf>
    <xf numFmtId="2" fontId="50" fillId="0" borderId="48" xfId="0" applyNumberFormat="1" applyFont="1" applyFill="1" applyBorder="1" applyAlignment="1">
      <alignment horizontal="center"/>
    </xf>
    <xf numFmtId="167" fontId="50" fillId="0" borderId="48" xfId="0" applyNumberFormat="1" applyFont="1" applyFill="1" applyBorder="1" applyAlignment="1">
      <alignment horizontal="center"/>
    </xf>
    <xf numFmtId="0" fontId="50" fillId="0" borderId="3" xfId="0" applyFont="1" applyFill="1" applyBorder="1"/>
    <xf numFmtId="0" fontId="50" fillId="0" borderId="48" xfId="0" applyFont="1" applyFill="1" applyBorder="1"/>
    <xf numFmtId="0" fontId="50" fillId="0" borderId="48" xfId="0" applyFont="1" applyFill="1" applyBorder="1" applyAlignment="1">
      <alignment horizontal="center" vertical="center"/>
    </xf>
    <xf numFmtId="2" fontId="50" fillId="0" borderId="5" xfId="0" applyNumberFormat="1" applyFont="1" applyFill="1" applyBorder="1" applyAlignment="1">
      <alignment horizontal="center"/>
    </xf>
    <xf numFmtId="167" fontId="50" fillId="0" borderId="48" xfId="0" applyNumberFormat="1" applyFont="1" applyFill="1" applyBorder="1" applyAlignment="1">
      <alignment horizontal="center" vertical="center"/>
    </xf>
    <xf numFmtId="167" fontId="50" fillId="0" borderId="1" xfId="0" applyNumberFormat="1" applyFont="1" applyFill="1" applyBorder="1" applyAlignment="1">
      <alignment horizontal="center" vertical="center"/>
    </xf>
    <xf numFmtId="167" fontId="50" fillId="0" borderId="5" xfId="0" applyNumberFormat="1" applyFont="1" applyFill="1" applyBorder="1" applyAlignment="1">
      <alignment horizontal="center" vertical="center"/>
    </xf>
    <xf numFmtId="1" fontId="50" fillId="0" borderId="5" xfId="0" applyNumberFormat="1" applyFont="1" applyFill="1" applyBorder="1" applyAlignment="1">
      <alignment horizontal="center" vertical="center"/>
    </xf>
    <xf numFmtId="1" fontId="50" fillId="0" borderId="5" xfId="0" applyNumberFormat="1" applyFont="1" applyFill="1" applyBorder="1" applyAlignment="1">
      <alignment horizontal="center"/>
    </xf>
    <xf numFmtId="0" fontId="50" fillId="0" borderId="5" xfId="0" applyFont="1" applyFill="1" applyBorder="1" applyAlignment="1">
      <alignment horizontal="center"/>
    </xf>
    <xf numFmtId="167" fontId="50" fillId="0" borderId="1" xfId="0" applyNumberFormat="1" applyFont="1" applyFill="1" applyBorder="1" applyAlignment="1">
      <alignment horizontal="center"/>
    </xf>
    <xf numFmtId="0" fontId="54" fillId="0" borderId="6" xfId="0" applyFont="1" applyFill="1" applyBorder="1"/>
    <xf numFmtId="167" fontId="50" fillId="0" borderId="5" xfId="0" applyNumberFormat="1" applyFont="1" applyFill="1" applyBorder="1" applyAlignment="1">
      <alignment horizontal="center"/>
    </xf>
    <xf numFmtId="167" fontId="50" fillId="0" borderId="2" xfId="0" applyNumberFormat="1" applyFont="1" applyFill="1" applyBorder="1" applyAlignment="1">
      <alignment horizontal="center"/>
    </xf>
    <xf numFmtId="167" fontId="50" fillId="0" borderId="47" xfId="0" applyNumberFormat="1" applyFont="1" applyFill="1" applyBorder="1" applyAlignment="1">
      <alignment horizontal="center"/>
    </xf>
    <xf numFmtId="167" fontId="50" fillId="0" borderId="47" xfId="0" applyNumberFormat="1" applyFont="1" applyFill="1" applyBorder="1" applyAlignment="1">
      <alignment horizontal="center" vertical="center"/>
    </xf>
    <xf numFmtId="167" fontId="50" fillId="0" borderId="2" xfId="0" applyNumberFormat="1" applyFont="1" applyFill="1" applyBorder="1" applyAlignment="1">
      <alignment horizontal="center" vertical="center"/>
    </xf>
    <xf numFmtId="1" fontId="50" fillId="0" borderId="47" xfId="0" applyNumberFormat="1" applyFont="1" applyFill="1" applyBorder="1" applyAlignment="1">
      <alignment horizontal="center" vertical="center"/>
    </xf>
    <xf numFmtId="1" fontId="50" fillId="0" borderId="47" xfId="0" applyNumberFormat="1" applyFont="1" applyFill="1" applyBorder="1" applyAlignment="1">
      <alignment horizontal="center"/>
    </xf>
    <xf numFmtId="167" fontId="54" fillId="0" borderId="0" xfId="0" applyNumberFormat="1" applyFont="1" applyFill="1"/>
    <xf numFmtId="0" fontId="20" fillId="0" borderId="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43" fillId="0" borderId="0" xfId="2" applyFont="1" applyAlignment="1">
      <alignment horizontal="left" wrapText="1"/>
    </xf>
    <xf numFmtId="0" fontId="46" fillId="0" borderId="0" xfId="2" applyFont="1" applyAlignment="1">
      <alignment horizontal="left" wrapText="1"/>
    </xf>
    <xf numFmtId="0" fontId="23" fillId="5" borderId="0" xfId="1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3" fillId="0" borderId="0" xfId="1" applyFont="1" applyAlignment="1">
      <alignment horizontal="center" vertical="center" wrapText="1"/>
    </xf>
    <xf numFmtId="0" fontId="26" fillId="0" borderId="8" xfId="3" applyFont="1" applyBorder="1" applyAlignment="1">
      <alignment horizontal="right" indent="1"/>
    </xf>
    <xf numFmtId="164" fontId="29" fillId="0" borderId="9" xfId="4" applyFont="1" applyBorder="1" applyAlignment="1" applyProtection="1">
      <alignment horizontal="center" vertical="center"/>
      <protection locked="0"/>
    </xf>
    <xf numFmtId="164" fontId="29" fillId="0" borderId="13" xfId="4" applyFont="1" applyBorder="1" applyAlignment="1" applyProtection="1">
      <alignment horizontal="center" vertical="center"/>
      <protection locked="0"/>
    </xf>
    <xf numFmtId="0" fontId="33" fillId="0" borderId="15" xfId="2" applyFont="1" applyBorder="1" applyAlignment="1">
      <alignment horizontal="center"/>
    </xf>
    <xf numFmtId="0" fontId="33" fillId="0" borderId="16" xfId="2" applyFont="1" applyBorder="1" applyAlignment="1">
      <alignment horizontal="center"/>
    </xf>
    <xf numFmtId="0" fontId="0" fillId="0" borderId="0" xfId="0" applyAlignment="1">
      <alignment vertical="center"/>
    </xf>
    <xf numFmtId="0" fontId="26" fillId="0" borderId="0" xfId="5" applyFont="1" applyAlignment="1">
      <alignment horizontal="center" vertical="center" wrapText="1"/>
    </xf>
    <xf numFmtId="0" fontId="26" fillId="0" borderId="8" xfId="1" applyFont="1" applyBorder="1" applyAlignment="1">
      <alignment horizontal="right" vertical="center" indent="1"/>
    </xf>
    <xf numFmtId="2" fontId="36" fillId="0" borderId="9" xfId="1" applyNumberFormat="1" applyFont="1" applyBorder="1" applyAlignment="1">
      <alignment horizontal="center" vertical="center"/>
    </xf>
    <xf numFmtId="2" fontId="36" fillId="0" borderId="13" xfId="1" applyNumberFormat="1" applyFont="1" applyBorder="1" applyAlignment="1">
      <alignment horizontal="center" vertical="center"/>
    </xf>
    <xf numFmtId="0" fontId="31" fillId="0" borderId="9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47" fillId="0" borderId="34" xfId="1" applyFont="1" applyBorder="1" applyAlignment="1">
      <alignment horizontal="center" vertical="center"/>
    </xf>
    <xf numFmtId="0" fontId="27" fillId="0" borderId="34" xfId="5" applyBorder="1" applyAlignment="1">
      <alignment horizontal="center" vertical="center"/>
    </xf>
    <xf numFmtId="0" fontId="27" fillId="0" borderId="35" xfId="5" applyBorder="1" applyAlignment="1">
      <alignment horizontal="center" vertical="center"/>
    </xf>
  </cellXfs>
  <cellStyles count="17">
    <cellStyle name="Обычный" xfId="0" builtinId="0"/>
    <cellStyle name="Обычный 100" xfId="1" xr:uid="{EAF8230B-11AA-4D8A-8FCE-F768493452A3}"/>
    <cellStyle name="Обычный 140 3 2" xfId="2" xr:uid="{5C979FDC-E975-4A10-B2F5-DD899E8CD17F}"/>
    <cellStyle name="Обычный 140 3 2 2" xfId="10" xr:uid="{FD786C6E-C5F7-416C-A993-71589C71677B}"/>
    <cellStyle name="Обычный 140 3 2 3" xfId="12" xr:uid="{482873DB-166F-4B06-B686-2D06EE0DE3B5}"/>
    <cellStyle name="Обычный 140 3 2 4" xfId="15" xr:uid="{0E624A26-8F43-4448-AFE7-916C31DCF26B}"/>
    <cellStyle name="Обычный 2" xfId="5" xr:uid="{1D944130-C29B-4C42-8157-D4EAE7A66DC7}"/>
    <cellStyle name="Обычный 2 2" xfId="14" xr:uid="{7D64975D-8FE8-4145-8FE2-38B82E9D35D9}"/>
    <cellStyle name="Обычный 2 3" xfId="3" xr:uid="{A538D9ED-B1DB-4137-9F01-D4D9FBA4F129}"/>
    <cellStyle name="Обычный 2 3 2" xfId="11" xr:uid="{A7B8AFC9-5299-4957-A2DF-F3E2E08909E7}"/>
    <cellStyle name="Обычный 2 3 3" xfId="13" xr:uid="{666231F6-C1AD-4F9F-BBE8-B69C45208B95}"/>
    <cellStyle name="Обычный 2 3 4" xfId="16" xr:uid="{4077F737-9D53-42D8-A027-0D16A9B61F4D}"/>
    <cellStyle name="Обычный 25 2" xfId="4" xr:uid="{458604C1-A3E8-479E-83E7-674D29352B3E}"/>
    <cellStyle name="Обычный 3" xfId="7" xr:uid="{9D0298AE-7E49-4C64-8C6C-6E40B8C1C040}"/>
    <cellStyle name="Обычный 4" xfId="8" xr:uid="{2A2BE4E2-96E4-4AFA-B7B8-BEFABA54F155}"/>
    <cellStyle name="Обычный 5" xfId="9" xr:uid="{44A7CF23-0C91-48A1-83EF-D0CF3B7CC225}"/>
    <cellStyle name="Стиль 1 2" xfId="6" xr:uid="{B165567B-D420-4B7C-9639-E59DCCA8D5E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783432</xdr:colOff>
      <xdr:row>0</xdr:row>
      <xdr:rowOff>0</xdr:rowOff>
    </xdr:from>
    <xdr:to>
      <xdr:col>5</xdr:col>
      <xdr:colOff>573748</xdr:colOff>
      <xdr:row>1</xdr:row>
      <xdr:rowOff>561975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F4003DD-9A33-43DC-B791-80AD89C1C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5457" y="0"/>
          <a:ext cx="638041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652329</xdr:colOff>
      <xdr:row>2</xdr:row>
      <xdr:rowOff>6483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0D4EB36-FA70-4E73-9530-57F2B6325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3225" y="0"/>
          <a:ext cx="652329" cy="6160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3;&#1077;&#1085;&#1072;/2025%20&#1075;&#1086;&#1076;/&#1055;&#1056;&#1054;&#1043;&#1053;&#1054;&#1047;%20&#1057;&#1054;&#1062;&#1048;&#1040;&#1051;&#1068;&#1053;&#1054;%20&#1069;&#1050;&#1054;&#1053;&#1054;&#1052;&#1048;&#1063;&#1045;&#1057;&#1050;&#1054;&#1043;&#1054;%20&#1056;&#1040;&#1047;&#1042;&#1048;&#1058;&#1048;&#1071;/&#1057;&#1042;&#1054;&#1044;%20&#1055;&#1054;%20&#1055;&#1056;&#1045;&#1044;&#1055;&#1056;&#1048;&#1071;&#1058;&#1048;&#1071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. энергия, газ и пар"/>
      <sheetName val="Водоснабжение и водоотвед"/>
      <sheetName val="Полиграфия"/>
      <sheetName val="Произхводство пищевых продуктов"/>
      <sheetName val="Обработка древесины"/>
      <sheetName val="Хлеб"/>
      <sheetName val="Кондитерка"/>
    </sheetNames>
    <sheetDataSet>
      <sheetData sheetId="0" refreshError="1"/>
      <sheetData sheetId="1" refreshError="1"/>
      <sheetData sheetId="2" refreshError="1"/>
      <sheetData sheetId="3">
        <row r="16">
          <cell r="I16">
            <v>1236.2024979999999</v>
          </cell>
        </row>
      </sheetData>
      <sheetData sheetId="4">
        <row r="11">
          <cell r="E11">
            <v>5051.8600000000015</v>
          </cell>
          <cell r="F11">
            <v>3763.4669999999996</v>
          </cell>
          <cell r="G11">
            <v>4255.79</v>
          </cell>
          <cell r="H11">
            <v>4493.8885</v>
          </cell>
          <cell r="I11">
            <v>4739.1441025000004</v>
          </cell>
          <cell r="J11">
            <v>4991.9384691625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05"/>
  <sheetViews>
    <sheetView tabSelected="1" zoomScale="130" zoomScaleNormal="130" zoomScaleSheetLayoutView="100" workbookViewId="0">
      <pane xSplit="5" ySplit="14" topLeftCell="F15" activePane="bottomRight" state="frozen"/>
      <selection pane="topRight" activeCell="F1" sqref="F1"/>
      <selection pane="bottomLeft" activeCell="A15" sqref="A15"/>
      <selection pane="bottomRight" activeCell="M8" sqref="M8"/>
    </sheetView>
  </sheetViews>
  <sheetFormatPr defaultRowHeight="12.75" x14ac:dyDescent="0.2"/>
  <cols>
    <col min="1" max="1" width="56.7109375" style="21" customWidth="1"/>
    <col min="2" max="2" width="14.5703125" style="14" customWidth="1"/>
    <col min="3" max="3" width="12.140625" style="12" customWidth="1"/>
    <col min="4" max="5" width="12.140625" style="13" customWidth="1"/>
    <col min="6" max="6" width="12.5703125" style="13" customWidth="1"/>
    <col min="7" max="7" width="10.5703125" style="13" customWidth="1"/>
    <col min="8" max="8" width="12.42578125" style="13" customWidth="1"/>
    <col min="9" max="9" width="10.85546875" style="13" customWidth="1"/>
    <col min="10" max="10" width="12.85546875" style="13" customWidth="1"/>
    <col min="11" max="11" width="11.7109375" style="13" customWidth="1"/>
    <col min="12" max="19" width="9.140625" style="3"/>
  </cols>
  <sheetData>
    <row r="1" spans="1:19" s="1" customFormat="1" ht="15.75" x14ac:dyDescent="0.2">
      <c r="A1" s="442" t="s">
        <v>160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8"/>
      <c r="M1" s="8"/>
      <c r="N1" s="8"/>
      <c r="O1" s="8"/>
      <c r="P1" s="8"/>
      <c r="Q1" s="8"/>
      <c r="R1" s="8"/>
      <c r="S1" s="8"/>
    </row>
    <row r="2" spans="1:19" s="1" customFormat="1" ht="15.75" x14ac:dyDescent="0.2">
      <c r="A2" s="442" t="s">
        <v>157</v>
      </c>
      <c r="B2" s="442"/>
      <c r="C2" s="442"/>
      <c r="D2" s="442"/>
      <c r="E2" s="442"/>
      <c r="F2" s="442"/>
      <c r="G2" s="442"/>
      <c r="H2" s="442"/>
      <c r="I2" s="442"/>
      <c r="J2" s="442"/>
      <c r="K2" s="442"/>
      <c r="L2" s="8"/>
      <c r="M2" s="8"/>
      <c r="N2" s="8"/>
      <c r="O2" s="8"/>
      <c r="P2" s="8"/>
      <c r="Q2" s="8"/>
      <c r="R2" s="8"/>
      <c r="S2" s="8"/>
    </row>
    <row r="3" spans="1:19" s="11" customFormat="1" x14ac:dyDescent="0.2">
      <c r="A3" s="447" t="s">
        <v>0</v>
      </c>
      <c r="B3" s="447" t="s">
        <v>1</v>
      </c>
      <c r="C3" s="443" t="s">
        <v>47</v>
      </c>
      <c r="D3" s="444"/>
      <c r="E3" s="68" t="s">
        <v>55</v>
      </c>
      <c r="F3" s="443" t="s">
        <v>38</v>
      </c>
      <c r="G3" s="445"/>
      <c r="H3" s="445"/>
      <c r="I3" s="445"/>
      <c r="J3" s="445"/>
      <c r="K3" s="445"/>
      <c r="L3" s="10"/>
      <c r="M3" s="10"/>
      <c r="N3" s="10"/>
      <c r="O3" s="10"/>
      <c r="P3" s="10"/>
      <c r="Q3" s="10"/>
      <c r="R3" s="10"/>
      <c r="S3" s="10"/>
    </row>
    <row r="4" spans="1:19" s="11" customFormat="1" x14ac:dyDescent="0.2">
      <c r="A4" s="448"/>
      <c r="B4" s="448"/>
      <c r="C4" s="447" t="s">
        <v>153</v>
      </c>
      <c r="D4" s="446" t="s">
        <v>155</v>
      </c>
      <c r="E4" s="446" t="s">
        <v>158</v>
      </c>
      <c r="F4" s="446" t="s">
        <v>154</v>
      </c>
      <c r="G4" s="446"/>
      <c r="H4" s="446" t="s">
        <v>156</v>
      </c>
      <c r="I4" s="446"/>
      <c r="J4" s="446" t="s">
        <v>159</v>
      </c>
      <c r="K4" s="446"/>
      <c r="L4" s="10"/>
      <c r="M4" s="10"/>
      <c r="N4" s="10"/>
      <c r="O4" s="10"/>
      <c r="P4" s="10"/>
      <c r="Q4" s="10"/>
      <c r="R4" s="10"/>
      <c r="S4" s="10"/>
    </row>
    <row r="5" spans="1:19" s="11" customFormat="1" ht="21" x14ac:dyDescent="0.2">
      <c r="A5" s="449"/>
      <c r="B5" s="449"/>
      <c r="C5" s="449"/>
      <c r="D5" s="446"/>
      <c r="E5" s="446"/>
      <c r="F5" s="69" t="s">
        <v>146</v>
      </c>
      <c r="G5" s="69" t="s">
        <v>147</v>
      </c>
      <c r="H5" s="69" t="s">
        <v>146</v>
      </c>
      <c r="I5" s="69" t="s">
        <v>147</v>
      </c>
      <c r="J5" s="69" t="s">
        <v>146</v>
      </c>
      <c r="K5" s="69" t="s">
        <v>147</v>
      </c>
      <c r="L5" s="10"/>
      <c r="M5" s="10"/>
      <c r="N5" s="10"/>
      <c r="O5" s="10"/>
      <c r="P5" s="10"/>
      <c r="Q5" s="10"/>
      <c r="R5" s="10"/>
      <c r="S5" s="10"/>
    </row>
    <row r="6" spans="1:19" s="11" customFormat="1" x14ac:dyDescent="0.2">
      <c r="A6" s="70" t="s">
        <v>56</v>
      </c>
      <c r="B6" s="22"/>
      <c r="C6" s="23"/>
      <c r="D6" s="23"/>
      <c r="E6" s="23"/>
      <c r="F6" s="23"/>
      <c r="G6" s="23"/>
      <c r="H6" s="24"/>
      <c r="I6" s="24"/>
      <c r="J6" s="24"/>
      <c r="K6" s="24"/>
      <c r="L6" s="10"/>
      <c r="M6" s="10"/>
      <c r="N6" s="10"/>
      <c r="O6" s="10"/>
      <c r="P6" s="10"/>
      <c r="Q6" s="10"/>
      <c r="R6" s="10"/>
      <c r="S6" s="10"/>
    </row>
    <row r="7" spans="1:19" s="20" customFormat="1" x14ac:dyDescent="0.2">
      <c r="A7" s="25" t="s">
        <v>57</v>
      </c>
      <c r="B7" s="26" t="s">
        <v>58</v>
      </c>
      <c r="C7" s="234">
        <v>45.061999999999998</v>
      </c>
      <c r="D7" s="234">
        <f>C7-0.45</f>
        <v>44.611999999999995</v>
      </c>
      <c r="E7" s="234">
        <f>D7-0.4</f>
        <v>44.211999999999996</v>
      </c>
      <c r="F7" s="234">
        <f>G7-0.1</f>
        <v>43.711999999999996</v>
      </c>
      <c r="G7" s="234">
        <f>E7-0.4</f>
        <v>43.811999999999998</v>
      </c>
      <c r="H7" s="234">
        <f>I7-0.1</f>
        <v>43.311999999999998</v>
      </c>
      <c r="I7" s="234">
        <f>G7-0.4</f>
        <v>43.411999999999999</v>
      </c>
      <c r="J7" s="234">
        <f>K7-0.1</f>
        <v>42.911999999999999</v>
      </c>
      <c r="K7" s="234">
        <f>I7-0.4</f>
        <v>43.012</v>
      </c>
      <c r="L7" s="19"/>
      <c r="M7" s="19"/>
      <c r="N7" s="19"/>
      <c r="O7" s="19"/>
      <c r="P7" s="19"/>
      <c r="Q7" s="19"/>
      <c r="R7" s="19"/>
      <c r="S7" s="19"/>
    </row>
    <row r="8" spans="1:19" s="20" customFormat="1" x14ac:dyDescent="0.2">
      <c r="A8" s="26"/>
      <c r="B8" s="26" t="s">
        <v>36</v>
      </c>
      <c r="C8" s="27"/>
      <c r="D8" s="238">
        <f>D7/C7*100</f>
        <v>99.001375882117955</v>
      </c>
      <c r="E8" s="238">
        <f>E7/D7*100</f>
        <v>99.103380256433255</v>
      </c>
      <c r="F8" s="238">
        <f>F7/E7*100</f>
        <v>98.869085316203737</v>
      </c>
      <c r="G8" s="238">
        <f>G7/E7*100</f>
        <v>99.095268252962995</v>
      </c>
      <c r="H8" s="234">
        <f>H7/F7*100</f>
        <v>99.084919472913626</v>
      </c>
      <c r="I8" s="234">
        <f>I7/G7*100</f>
        <v>99.08700812562769</v>
      </c>
      <c r="J8" s="234">
        <f>J7/H7*100</f>
        <v>99.076468415219793</v>
      </c>
      <c r="K8" s="234">
        <f>K7/I7*100</f>
        <v>99.078595779968666</v>
      </c>
      <c r="L8" s="19"/>
      <c r="M8" s="19"/>
      <c r="N8" s="19"/>
      <c r="O8" s="19"/>
      <c r="P8" s="19"/>
      <c r="Q8" s="19"/>
      <c r="R8" s="19"/>
      <c r="S8" s="19"/>
    </row>
    <row r="9" spans="1:19" s="20" customFormat="1" x14ac:dyDescent="0.2">
      <c r="A9" s="29" t="s">
        <v>92</v>
      </c>
      <c r="B9" s="26" t="s">
        <v>58</v>
      </c>
      <c r="C9" s="234">
        <v>26.02</v>
      </c>
      <c r="D9" s="234">
        <v>25.741123999999999</v>
      </c>
      <c r="E9" s="234">
        <v>25.510324000000001</v>
      </c>
      <c r="F9" s="234">
        <v>25.221824000000002</v>
      </c>
      <c r="G9" s="234">
        <v>25.279524000000002</v>
      </c>
      <c r="H9" s="234">
        <v>24.991024000000003</v>
      </c>
      <c r="I9" s="234">
        <v>25.048724000000004</v>
      </c>
      <c r="J9" s="234">
        <v>24.760224000000001</v>
      </c>
      <c r="K9" s="234">
        <v>24.817924000000005</v>
      </c>
      <c r="L9" s="19"/>
      <c r="M9" s="19"/>
      <c r="N9" s="19"/>
      <c r="O9" s="19"/>
      <c r="P9" s="19"/>
      <c r="Q9" s="19"/>
      <c r="R9" s="19"/>
      <c r="S9" s="19"/>
    </row>
    <row r="10" spans="1:19" s="20" customFormat="1" ht="24" x14ac:dyDescent="0.2">
      <c r="A10" s="25"/>
      <c r="B10" s="30" t="s">
        <v>50</v>
      </c>
      <c r="D10" s="238">
        <f>D9/C9*100</f>
        <v>98.928224442736351</v>
      </c>
      <c r="E10" s="238">
        <f>E9/D9*100</f>
        <v>99.103380256433255</v>
      </c>
      <c r="F10" s="238">
        <f>F9/E9*100</f>
        <v>98.869085316203751</v>
      </c>
      <c r="G10" s="238">
        <f>G9/E9*100</f>
        <v>99.095268252962995</v>
      </c>
      <c r="H10" s="234">
        <f>H9/F9*100</f>
        <v>99.084919472913626</v>
      </c>
      <c r="I10" s="234">
        <f>I9/G9*100</f>
        <v>99.08700812562769</v>
      </c>
      <c r="J10" s="234">
        <f>J9/H9*100</f>
        <v>99.076468415219793</v>
      </c>
      <c r="K10" s="234">
        <f>K9/I9*100</f>
        <v>99.07859577996868</v>
      </c>
      <c r="L10" s="19"/>
      <c r="M10" s="19"/>
      <c r="N10" s="19"/>
      <c r="O10" s="19"/>
      <c r="P10" s="19"/>
      <c r="Q10" s="19"/>
      <c r="R10" s="19"/>
      <c r="S10" s="19"/>
    </row>
    <row r="11" spans="1:19" s="20" customFormat="1" x14ac:dyDescent="0.2">
      <c r="A11" s="29" t="s">
        <v>93</v>
      </c>
      <c r="B11" s="26" t="s">
        <v>58</v>
      </c>
      <c r="C11" s="234">
        <v>19.04</v>
      </c>
      <c r="D11" s="234">
        <v>18.870875999999996</v>
      </c>
      <c r="E11" s="234">
        <v>18.657464000000001</v>
      </c>
      <c r="F11" s="234">
        <v>18.446463999999999</v>
      </c>
      <c r="G11" s="234">
        <v>18.488664</v>
      </c>
      <c r="H11" s="234">
        <v>18.277664000000001</v>
      </c>
      <c r="I11" s="234">
        <v>18.319864000000003</v>
      </c>
      <c r="J11" s="234">
        <v>18.108864000000001</v>
      </c>
      <c r="K11" s="234">
        <v>18.151064000000002</v>
      </c>
      <c r="L11" s="19"/>
      <c r="M11" s="19"/>
      <c r="N11" s="19"/>
      <c r="O11" s="19"/>
      <c r="P11" s="19"/>
      <c r="Q11" s="19"/>
      <c r="R11" s="19"/>
      <c r="S11" s="19"/>
    </row>
    <row r="12" spans="1:19" s="20" customFormat="1" ht="24" x14ac:dyDescent="0.2">
      <c r="A12" s="31"/>
      <c r="B12" s="30" t="s">
        <v>50</v>
      </c>
      <c r="C12" s="27"/>
      <c r="D12" s="238">
        <f>D11/C11*100</f>
        <v>99.111743697478971</v>
      </c>
      <c r="E12" s="238">
        <f>E11/D11*100</f>
        <v>98.869093305472447</v>
      </c>
      <c r="F12" s="238">
        <f>F11/E11*100</f>
        <v>98.869085316203737</v>
      </c>
      <c r="G12" s="238">
        <f>G11/E11*100</f>
        <v>99.095268252962981</v>
      </c>
      <c r="H12" s="234">
        <f>H11/F11*100</f>
        <v>99.08491947291364</v>
      </c>
      <c r="I12" s="234">
        <f>I11/G11*100</f>
        <v>99.08700812562769</v>
      </c>
      <c r="J12" s="234">
        <f>J11/H11*100</f>
        <v>99.076468415219793</v>
      </c>
      <c r="K12" s="234">
        <f>K11/I11*100</f>
        <v>99.078595779968666</v>
      </c>
      <c r="L12" s="19"/>
      <c r="M12" s="19"/>
      <c r="N12" s="19"/>
      <c r="O12" s="19"/>
      <c r="P12" s="19"/>
      <c r="Q12" s="19"/>
      <c r="R12" s="19"/>
      <c r="S12" s="19"/>
    </row>
    <row r="13" spans="1:19" x14ac:dyDescent="0.2">
      <c r="A13" s="71" t="s">
        <v>48</v>
      </c>
      <c r="B13" s="26"/>
      <c r="C13" s="28"/>
      <c r="D13" s="32"/>
      <c r="E13" s="32"/>
      <c r="F13" s="32"/>
      <c r="G13" s="32"/>
      <c r="H13" s="32"/>
      <c r="I13" s="32"/>
      <c r="J13" s="32"/>
      <c r="K13" s="32"/>
    </row>
    <row r="14" spans="1:19" s="20" customFormat="1" x14ac:dyDescent="0.2">
      <c r="A14" s="358" t="s">
        <v>15</v>
      </c>
      <c r="B14" s="359" t="s">
        <v>36</v>
      </c>
      <c r="C14" s="360"/>
      <c r="D14" s="361">
        <v>85.907784797173036</v>
      </c>
      <c r="E14" s="361">
        <v>106.15558910947387</v>
      </c>
      <c r="F14" s="361">
        <v>99.191898135272965</v>
      </c>
      <c r="G14" s="361">
        <v>101.02588040010639</v>
      </c>
      <c r="H14" s="361">
        <v>101.2948902843214</v>
      </c>
      <c r="I14" s="361">
        <v>101.43827385747872</v>
      </c>
      <c r="J14" s="361">
        <v>101.6610847955497</v>
      </c>
      <c r="K14" s="361">
        <v>101.81173229722449</v>
      </c>
      <c r="L14" s="19"/>
      <c r="M14" s="19"/>
      <c r="N14" s="19"/>
      <c r="O14" s="19"/>
      <c r="P14" s="19"/>
      <c r="Q14" s="19"/>
      <c r="R14" s="19"/>
      <c r="S14" s="19"/>
    </row>
    <row r="15" spans="1:19" x14ac:dyDescent="0.2">
      <c r="A15" s="70" t="s">
        <v>278</v>
      </c>
      <c r="B15" s="237" t="s">
        <v>40</v>
      </c>
      <c r="C15" s="245">
        <f t="shared" ref="C15:K15" si="0">C16+C85+C88</f>
        <v>6830.2000000000025</v>
      </c>
      <c r="D15" s="245">
        <f t="shared" si="0"/>
        <v>6509.5970000000007</v>
      </c>
      <c r="E15" s="245">
        <f t="shared" si="0"/>
        <v>7333.9024979999995</v>
      </c>
      <c r="F15" s="245">
        <f t="shared" si="0"/>
        <v>7674.7421353900008</v>
      </c>
      <c r="G15" s="245">
        <f t="shared" si="0"/>
        <v>7800.3421353899994</v>
      </c>
      <c r="H15" s="245">
        <f t="shared" si="0"/>
        <v>8162.8277069302803</v>
      </c>
      <c r="I15" s="245">
        <f t="shared" si="0"/>
        <v>8288.3777069302796</v>
      </c>
      <c r="J15" s="245">
        <f t="shared" si="0"/>
        <v>8663.5496415187263</v>
      </c>
      <c r="K15" s="245">
        <f t="shared" si="0"/>
        <v>8792.9596415187243</v>
      </c>
    </row>
    <row r="16" spans="1:19" ht="24" x14ac:dyDescent="0.2">
      <c r="A16" s="25" t="s">
        <v>148</v>
      </c>
      <c r="B16" s="26" t="s">
        <v>39</v>
      </c>
      <c r="C16" s="234">
        <f t="shared" ref="C16:K16" si="1">C19+C22+C28+C34+C40</f>
        <v>5561.090000000002</v>
      </c>
      <c r="D16" s="234">
        <f t="shared" si="1"/>
        <v>4884.5970000000007</v>
      </c>
      <c r="E16" s="234">
        <f t="shared" si="1"/>
        <v>5560.9024979999995</v>
      </c>
      <c r="F16" s="234">
        <f t="shared" si="1"/>
        <v>5763.7221353900004</v>
      </c>
      <c r="G16" s="234">
        <f t="shared" si="1"/>
        <v>5867.3221353899999</v>
      </c>
      <c r="H16" s="234">
        <f t="shared" si="1"/>
        <v>6075.1758069302796</v>
      </c>
      <c r="I16" s="234">
        <f t="shared" si="1"/>
        <v>6180.6558069302801</v>
      </c>
      <c r="J16" s="234">
        <f t="shared" si="1"/>
        <v>6393.2827705187246</v>
      </c>
      <c r="K16" s="234">
        <f t="shared" si="1"/>
        <v>6503.6427705187243</v>
      </c>
    </row>
    <row r="17" spans="1:19" s="294" customFormat="1" x14ac:dyDescent="0.2">
      <c r="A17" s="29" t="s">
        <v>16</v>
      </c>
      <c r="B17" s="26" t="s">
        <v>3</v>
      </c>
      <c r="C17" s="28"/>
      <c r="D17" s="230">
        <f>D16/(C16*D18%)*100</f>
        <v>81.416894062684648</v>
      </c>
      <c r="E17" s="230">
        <f>E16/(D16*E18%)*100</f>
        <v>107.40724644956138</v>
      </c>
      <c r="F17" s="230">
        <f>F16/(E16*F18%)*100</f>
        <v>98.805760900981383</v>
      </c>
      <c r="G17" s="230">
        <f>G16/(E16*G18%)*100</f>
        <v>100.69031073256427</v>
      </c>
      <c r="H17" s="230">
        <f>H16/(F16*H18%)*100</f>
        <v>100.7683459954212</v>
      </c>
      <c r="I17" s="230">
        <f>I16/(G16*I18%)*100</f>
        <v>100.83648313434703</v>
      </c>
      <c r="J17" s="230">
        <f>J16/(H16*J18%)*100</f>
        <v>100.89758109957026</v>
      </c>
      <c r="K17" s="230">
        <f>K16/(I16*K18%)*100</f>
        <v>101.02845403445832</v>
      </c>
      <c r="L17" s="293"/>
      <c r="M17" s="293"/>
      <c r="N17" s="293"/>
      <c r="O17" s="293"/>
      <c r="P17" s="293"/>
      <c r="Q17" s="293"/>
      <c r="R17" s="293"/>
      <c r="S17" s="293"/>
    </row>
    <row r="18" spans="1:19" s="16" customFormat="1" x14ac:dyDescent="0.2">
      <c r="A18" s="29" t="s">
        <v>13</v>
      </c>
      <c r="B18" s="26" t="s">
        <v>3</v>
      </c>
      <c r="C18" s="28"/>
      <c r="D18" s="230">
        <f>'Дефлятор базовый'!$B$35</f>
        <v>107.88331530035218</v>
      </c>
      <c r="E18" s="230">
        <f>'Дефлятор базовый'!$C$35</f>
        <v>105.99440935676505</v>
      </c>
      <c r="F18" s="230">
        <v>104.9</v>
      </c>
      <c r="G18" s="230">
        <f>'Дефлятор базовый'!$D$35</f>
        <v>104.78689495258297</v>
      </c>
      <c r="H18" s="230">
        <v>104.6</v>
      </c>
      <c r="I18" s="230">
        <f>'Дефлятор базовый'!$E$35</f>
        <v>104.4664737606855</v>
      </c>
      <c r="J18" s="230">
        <v>104.3</v>
      </c>
      <c r="K18" s="230">
        <f>'Дефлятор базовый'!$F$35</f>
        <v>104.15458964588026</v>
      </c>
      <c r="L18" s="15"/>
      <c r="M18" s="15"/>
      <c r="N18" s="15"/>
      <c r="O18" s="15"/>
      <c r="P18" s="15"/>
      <c r="Q18" s="15"/>
      <c r="R18" s="15"/>
      <c r="S18" s="15"/>
    </row>
    <row r="19" spans="1:19" s="7" customFormat="1" ht="33" customHeight="1" x14ac:dyDescent="0.2">
      <c r="A19" s="67" t="s">
        <v>109</v>
      </c>
      <c r="B19" s="243" t="s">
        <v>40</v>
      </c>
      <c r="C19" s="262">
        <v>445.7</v>
      </c>
      <c r="D19" s="231">
        <v>1056.22</v>
      </c>
      <c r="E19" s="234">
        <f>'[1]Произхводство пищевых продуктов'!$I$16</f>
        <v>1236.2024979999999</v>
      </c>
      <c r="F19" s="234">
        <f>G19-40</f>
        <v>1264.1936353899998</v>
      </c>
      <c r="G19" s="234">
        <f>E19*105.5%</f>
        <v>1304.1936353899998</v>
      </c>
      <c r="H19" s="234">
        <f>I19-45</f>
        <v>1327.0117044302799</v>
      </c>
      <c r="I19" s="234">
        <f>G19*105.2%</f>
        <v>1372.0117044302799</v>
      </c>
      <c r="J19" s="234">
        <f>K19-51</f>
        <v>1390.984301356224</v>
      </c>
      <c r="K19" s="234">
        <f>I19*105.1%</f>
        <v>1441.984301356224</v>
      </c>
      <c r="L19" s="6"/>
      <c r="M19" s="6"/>
      <c r="N19" s="6"/>
      <c r="O19" s="6"/>
      <c r="P19" s="6"/>
      <c r="Q19" s="6"/>
      <c r="R19" s="9"/>
      <c r="S19" s="9"/>
    </row>
    <row r="20" spans="1:19" s="7" customFormat="1" x14ac:dyDescent="0.2">
      <c r="A20" s="29" t="s">
        <v>16</v>
      </c>
      <c r="B20" s="243" t="s">
        <v>42</v>
      </c>
      <c r="C20" s="263"/>
      <c r="D20" s="231">
        <f>D19/(C19*D21%)*100</f>
        <v>212.45856783018246</v>
      </c>
      <c r="E20" s="231">
        <f>E19/(D19*E21%)*100</f>
        <v>106.52706418031022</v>
      </c>
      <c r="F20" s="231">
        <f>F19/(E19*F21%)*100</f>
        <v>97.580423820055969</v>
      </c>
      <c r="G20" s="234">
        <f>G19/(E19*G21%)*100</f>
        <v>100.84010259995082</v>
      </c>
      <c r="H20" s="234">
        <f>H19/(F19*H21%)*100</f>
        <v>100.44882557490051</v>
      </c>
      <c r="I20" s="234">
        <f>I19/(G19*I21%)*100</f>
        <v>100.8778598972973</v>
      </c>
      <c r="J20" s="234">
        <f>J19/(H19*J21%)*100</f>
        <v>100.40306633799499</v>
      </c>
      <c r="K20" s="234">
        <f>K19/(I19*K21%)*100</f>
        <v>100.90943881413548</v>
      </c>
      <c r="L20" s="6"/>
      <c r="M20" s="6"/>
      <c r="N20" s="6"/>
      <c r="O20" s="6"/>
      <c r="P20" s="6"/>
      <c r="Q20" s="6"/>
      <c r="R20" s="9"/>
      <c r="S20" s="9"/>
    </row>
    <row r="21" spans="1:19" s="7" customFormat="1" x14ac:dyDescent="0.2">
      <c r="A21" s="29" t="s">
        <v>13</v>
      </c>
      <c r="B21" s="243" t="s">
        <v>42</v>
      </c>
      <c r="C21" s="263"/>
      <c r="D21" s="231">
        <f>'Дефлятор базовый'!$B$38</f>
        <v>111.54176262765768</v>
      </c>
      <c r="E21" s="234">
        <f>'Дефлятор базовый'!$C$38</f>
        <v>109.86902531126275</v>
      </c>
      <c r="F21" s="234">
        <v>104.8</v>
      </c>
      <c r="G21" s="234">
        <f>'Дефлятор базовый'!$D$38</f>
        <v>104.62107562358969</v>
      </c>
      <c r="H21" s="234">
        <v>104.5</v>
      </c>
      <c r="I21" s="234">
        <f>'Дефлятор базовый'!$E$38</f>
        <v>104.28452795004081</v>
      </c>
      <c r="J21" s="234">
        <v>104.4</v>
      </c>
      <c r="K21" s="234">
        <f>'Дефлятор базовый'!$F$38</f>
        <v>104.15279406476839</v>
      </c>
      <c r="L21" s="6"/>
      <c r="M21" s="6"/>
      <c r="N21" s="6"/>
      <c r="O21" s="6"/>
      <c r="P21" s="6"/>
      <c r="Q21" s="6"/>
      <c r="R21" s="9"/>
      <c r="S21" s="9"/>
    </row>
    <row r="22" spans="1:19" s="7" customFormat="1" ht="30" customHeight="1" x14ac:dyDescent="0.2">
      <c r="A22" s="61" t="s">
        <v>304</v>
      </c>
      <c r="B22" s="34" t="s">
        <v>40</v>
      </c>
      <c r="C22" s="262">
        <v>40.6</v>
      </c>
      <c r="D22" s="231">
        <v>37.293999999999997</v>
      </c>
      <c r="E22" s="232">
        <v>41.2</v>
      </c>
      <c r="F22" s="232">
        <f>G22-1.5</f>
        <v>39.799999999999997</v>
      </c>
      <c r="G22" s="232">
        <v>41.3</v>
      </c>
      <c r="H22" s="232">
        <f>I22-1.4</f>
        <v>40.1</v>
      </c>
      <c r="I22" s="232">
        <v>41.5</v>
      </c>
      <c r="J22" s="232">
        <f>K22-1.3</f>
        <v>40.400000000000006</v>
      </c>
      <c r="K22" s="232">
        <v>41.7</v>
      </c>
      <c r="L22" s="6"/>
      <c r="M22" s="6"/>
      <c r="N22" s="6"/>
      <c r="O22" s="6"/>
      <c r="P22" s="6"/>
      <c r="Q22" s="6"/>
      <c r="R22" s="9"/>
      <c r="S22" s="9"/>
    </row>
    <row r="23" spans="1:19" s="7" customFormat="1" x14ac:dyDescent="0.2">
      <c r="A23" s="29" t="s">
        <v>16</v>
      </c>
      <c r="B23" s="243" t="s">
        <v>42</v>
      </c>
      <c r="C23" s="263"/>
      <c r="D23" s="231">
        <f>D22/(C22*D24%)*100</f>
        <v>82.352242508283751</v>
      </c>
      <c r="E23" s="231">
        <f>E22/(D22*E24%)*100</f>
        <v>100.5502090364897</v>
      </c>
      <c r="F23" s="231">
        <f>F22/(E22*F24%)*100</f>
        <v>92.177425331653424</v>
      </c>
      <c r="G23" s="234">
        <f>G22/(E22*G24%)*100</f>
        <v>95.815033299083623</v>
      </c>
      <c r="H23" s="234">
        <f>H22/(F22*H24%)*100</f>
        <v>96.41508980308241</v>
      </c>
      <c r="I23" s="234">
        <f>I22/(G22*I24%)*100</f>
        <v>96.35586742968168</v>
      </c>
      <c r="J23" s="234">
        <f>J22/(H22*J24%)*100</f>
        <v>96.502039919358694</v>
      </c>
      <c r="K23" s="234">
        <f>K22/(I22*K24%)*100</f>
        <v>96.475498917828133</v>
      </c>
      <c r="L23" s="6"/>
      <c r="M23" s="6"/>
      <c r="N23" s="6"/>
      <c r="O23" s="6"/>
      <c r="P23" s="6"/>
      <c r="Q23" s="6"/>
      <c r="R23" s="9"/>
      <c r="S23" s="9"/>
    </row>
    <row r="24" spans="1:19" s="7" customFormat="1" x14ac:dyDescent="0.2">
      <c r="A24" s="29" t="s">
        <v>13</v>
      </c>
      <c r="B24" s="243" t="s">
        <v>42</v>
      </c>
      <c r="C24" s="263"/>
      <c r="D24" s="231">
        <f>D21</f>
        <v>111.54176262765768</v>
      </c>
      <c r="E24" s="234">
        <f>E21</f>
        <v>109.86902531126275</v>
      </c>
      <c r="F24" s="234">
        <v>104.8</v>
      </c>
      <c r="G24" s="234">
        <f>G21</f>
        <v>104.62107562358969</v>
      </c>
      <c r="H24" s="234">
        <v>104.5</v>
      </c>
      <c r="I24" s="234">
        <f>I21</f>
        <v>104.28452795004081</v>
      </c>
      <c r="J24" s="234">
        <v>104.4</v>
      </c>
      <c r="K24" s="234">
        <f>K21</f>
        <v>104.15279406476839</v>
      </c>
      <c r="L24" s="6"/>
      <c r="M24" s="6"/>
      <c r="N24" s="6"/>
      <c r="O24" s="6"/>
      <c r="P24" s="6"/>
      <c r="Q24" s="6"/>
      <c r="R24" s="9"/>
      <c r="S24" s="9"/>
    </row>
    <row r="25" spans="1:19" s="7" customFormat="1" ht="36" hidden="1" x14ac:dyDescent="0.2">
      <c r="A25" s="33" t="s">
        <v>108</v>
      </c>
      <c r="B25" s="34" t="s">
        <v>40</v>
      </c>
      <c r="C25" s="35"/>
      <c r="D25" s="36"/>
      <c r="E25" s="24"/>
      <c r="F25" s="24"/>
      <c r="G25" s="24"/>
      <c r="H25" s="24"/>
      <c r="I25" s="24"/>
      <c r="J25" s="24"/>
      <c r="K25" s="24"/>
      <c r="L25" s="6"/>
      <c r="M25" s="6"/>
      <c r="N25" s="6"/>
      <c r="O25" s="6"/>
      <c r="P25" s="6"/>
      <c r="Q25" s="6"/>
      <c r="R25" s="9"/>
      <c r="S25" s="9"/>
    </row>
    <row r="26" spans="1:19" s="7" customFormat="1" hidden="1" x14ac:dyDescent="0.2">
      <c r="A26" s="29" t="s">
        <v>16</v>
      </c>
      <c r="B26" s="34" t="s">
        <v>42</v>
      </c>
      <c r="C26" s="35"/>
      <c r="D26" s="36"/>
      <c r="E26" s="24"/>
      <c r="F26" s="24"/>
      <c r="G26" s="24"/>
      <c r="H26" s="24"/>
      <c r="I26" s="24"/>
      <c r="J26" s="24"/>
      <c r="K26" s="24"/>
      <c r="L26" s="6"/>
      <c r="M26" s="6"/>
      <c r="N26" s="6"/>
      <c r="O26" s="6"/>
      <c r="P26" s="6"/>
      <c r="Q26" s="6"/>
      <c r="R26" s="9"/>
      <c r="S26" s="9"/>
    </row>
    <row r="27" spans="1:19" s="7" customFormat="1" hidden="1" x14ac:dyDescent="0.2">
      <c r="A27" s="29" t="s">
        <v>13</v>
      </c>
      <c r="B27" s="34" t="s">
        <v>42</v>
      </c>
      <c r="C27" s="35"/>
      <c r="D27" s="36"/>
      <c r="E27" s="24"/>
      <c r="F27" s="24"/>
      <c r="G27" s="24"/>
      <c r="H27" s="24"/>
      <c r="I27" s="24"/>
      <c r="J27" s="24"/>
      <c r="K27" s="24"/>
      <c r="L27" s="6"/>
      <c r="M27" s="6"/>
      <c r="N27" s="6"/>
      <c r="O27" s="6"/>
      <c r="P27" s="6"/>
      <c r="Q27" s="6"/>
      <c r="R27" s="9"/>
      <c r="S27" s="9"/>
    </row>
    <row r="28" spans="1:19" s="7" customFormat="1" ht="25.5" customHeight="1" x14ac:dyDescent="0.2">
      <c r="A28" s="67" t="s">
        <v>107</v>
      </c>
      <c r="B28" s="243" t="s">
        <v>40</v>
      </c>
      <c r="C28" s="262">
        <v>8.01</v>
      </c>
      <c r="D28" s="231">
        <v>12.726000000000001</v>
      </c>
      <c r="E28" s="234">
        <v>12.8</v>
      </c>
      <c r="F28" s="234">
        <f>G28-1</f>
        <v>12</v>
      </c>
      <c r="G28" s="234">
        <v>13</v>
      </c>
      <c r="H28" s="234">
        <f>I28-0.98</f>
        <v>12.02</v>
      </c>
      <c r="I28" s="234">
        <v>13</v>
      </c>
      <c r="J28" s="234">
        <f>K28-0.97</f>
        <v>12.03</v>
      </c>
      <c r="K28" s="234">
        <v>13</v>
      </c>
      <c r="L28" s="6"/>
      <c r="M28" s="6"/>
      <c r="N28" s="6"/>
      <c r="O28" s="6"/>
      <c r="P28" s="6"/>
      <c r="Q28" s="6"/>
      <c r="R28" s="9"/>
      <c r="S28" s="9"/>
    </row>
    <row r="29" spans="1:19" s="7" customFormat="1" ht="14.25" customHeight="1" x14ac:dyDescent="0.2">
      <c r="A29" s="29" t="s">
        <v>16</v>
      </c>
      <c r="B29" s="243" t="s">
        <v>42</v>
      </c>
      <c r="C29" s="263"/>
      <c r="D29" s="231">
        <f>D28/(C28*D30%)*100</f>
        <v>131.34044119580412</v>
      </c>
      <c r="E29" s="231">
        <f>E28/(D28*E30%)*100</f>
        <v>94.108014251273005</v>
      </c>
      <c r="F29" s="231">
        <f>F28/(E28*F30%)*100</f>
        <v>89.03133903133903</v>
      </c>
      <c r="G29" s="234">
        <f>G24/(E24*G30%)*100</f>
        <v>90.601163670037039</v>
      </c>
      <c r="H29" s="234">
        <f>H28/(F28*H30%)*100</f>
        <v>95.761631612492039</v>
      </c>
      <c r="I29" s="234">
        <f>I28/(G28*I30%)*100</f>
        <v>95.79412699470582</v>
      </c>
      <c r="J29" s="234">
        <f>J28/(H28*J30%)*100</f>
        <v>95.865128999560113</v>
      </c>
      <c r="K29" s="234">
        <f>K28/(I28*K30%)*100</f>
        <v>95.930778090797958</v>
      </c>
      <c r="L29" s="6"/>
      <c r="M29" s="6"/>
      <c r="N29" s="6"/>
      <c r="O29" s="6"/>
      <c r="P29" s="6"/>
      <c r="Q29" s="6"/>
      <c r="R29" s="9"/>
      <c r="S29" s="9"/>
    </row>
    <row r="30" spans="1:19" s="7" customFormat="1" x14ac:dyDescent="0.2">
      <c r="A30" s="29" t="s">
        <v>13</v>
      </c>
      <c r="B30" s="243" t="s">
        <v>42</v>
      </c>
      <c r="C30" s="263"/>
      <c r="D30" s="231">
        <f>'Дефлятор базовый'!$B$41</f>
        <v>120.96533485640339</v>
      </c>
      <c r="E30" s="234">
        <f>'Дефлятор базовый'!$C$41</f>
        <v>106.87876853032205</v>
      </c>
      <c r="F30" s="234">
        <v>105.3</v>
      </c>
      <c r="G30" s="234">
        <f>'Дефлятор базовый'!$D$41</f>
        <v>105.10179500102403</v>
      </c>
      <c r="H30" s="234">
        <v>104.6</v>
      </c>
      <c r="I30" s="234">
        <f>'Дефлятор базовый'!$E$41</f>
        <v>104.3905332583976</v>
      </c>
      <c r="J30" s="234">
        <v>104.4</v>
      </c>
      <c r="K30" s="234">
        <f>'Дефлятор базовый'!$F$41</f>
        <v>104.24183144365884</v>
      </c>
      <c r="L30" s="6"/>
      <c r="M30" s="6"/>
      <c r="N30" s="6"/>
      <c r="O30" s="6"/>
      <c r="P30" s="6"/>
      <c r="Q30" s="6"/>
      <c r="R30" s="9"/>
      <c r="S30" s="9"/>
    </row>
    <row r="31" spans="1:19" s="7" customFormat="1" ht="36" hidden="1" x14ac:dyDescent="0.2">
      <c r="A31" s="33" t="s">
        <v>106</v>
      </c>
      <c r="B31" s="34" t="s">
        <v>40</v>
      </c>
      <c r="C31" s="35"/>
      <c r="D31" s="36"/>
      <c r="E31" s="24"/>
      <c r="F31" s="24"/>
      <c r="G31" s="24"/>
      <c r="H31" s="24"/>
      <c r="I31" s="24"/>
      <c r="J31" s="24"/>
      <c r="K31" s="24"/>
      <c r="L31" s="6"/>
      <c r="M31" s="6"/>
      <c r="N31" s="6"/>
      <c r="O31" s="6"/>
      <c r="P31" s="6"/>
      <c r="Q31" s="6"/>
      <c r="R31" s="9"/>
      <c r="S31" s="9"/>
    </row>
    <row r="32" spans="1:19" s="7" customFormat="1" hidden="1" x14ac:dyDescent="0.2">
      <c r="A32" s="29" t="s">
        <v>16</v>
      </c>
      <c r="B32" s="34" t="s">
        <v>42</v>
      </c>
      <c r="C32" s="35"/>
      <c r="D32" s="36"/>
      <c r="E32" s="24"/>
      <c r="F32" s="24"/>
      <c r="G32" s="24"/>
      <c r="H32" s="24"/>
      <c r="I32" s="24"/>
      <c r="J32" s="24"/>
      <c r="K32" s="24"/>
      <c r="L32" s="6"/>
      <c r="M32" s="6"/>
      <c r="N32" s="6"/>
      <c r="O32" s="6"/>
      <c r="P32" s="6"/>
      <c r="Q32" s="6"/>
      <c r="R32" s="5"/>
      <c r="S32" s="9"/>
    </row>
    <row r="33" spans="1:19" s="7" customFormat="1" hidden="1" x14ac:dyDescent="0.2">
      <c r="A33" s="29" t="s">
        <v>13</v>
      </c>
      <c r="B33" s="34" t="s">
        <v>42</v>
      </c>
      <c r="C33" s="35"/>
      <c r="D33" s="36"/>
      <c r="E33" s="24"/>
      <c r="F33" s="24"/>
      <c r="G33" s="24"/>
      <c r="H33" s="24"/>
      <c r="I33" s="24"/>
      <c r="J33" s="24"/>
      <c r="K33" s="24"/>
      <c r="L33" s="6"/>
      <c r="M33" s="6"/>
      <c r="N33" s="6"/>
      <c r="O33" s="6"/>
      <c r="P33" s="6"/>
      <c r="Q33" s="6"/>
      <c r="R33" s="5"/>
      <c r="S33" s="9"/>
    </row>
    <row r="34" spans="1:19" s="7" customFormat="1" ht="48" x14ac:dyDescent="0.2">
      <c r="A34" s="67" t="s">
        <v>105</v>
      </c>
      <c r="B34" s="243" t="s">
        <v>40</v>
      </c>
      <c r="C34" s="262">
        <f>'[1]Обработка древесины'!$E$11</f>
        <v>5051.8600000000015</v>
      </c>
      <c r="D34" s="231">
        <f>'[1]Обработка древесины'!$F$11</f>
        <v>3763.4669999999996</v>
      </c>
      <c r="E34" s="234">
        <f>'[1]Обработка древесины'!$G$11</f>
        <v>4255.79</v>
      </c>
      <c r="F34" s="234">
        <f>G34-60</f>
        <v>4433.8885</v>
      </c>
      <c r="G34" s="234">
        <f>'[1]Обработка древесины'!$H$11</f>
        <v>4493.8885</v>
      </c>
      <c r="H34" s="234">
        <f>I34-57</f>
        <v>4682.1441025000004</v>
      </c>
      <c r="I34" s="234">
        <f>'[1]Обработка древесины'!$I$11</f>
        <v>4739.1441025000004</v>
      </c>
      <c r="J34" s="234">
        <f>K34-56</f>
        <v>4935.9384691625</v>
      </c>
      <c r="K34" s="234">
        <f>'[1]Обработка древесины'!$J$11</f>
        <v>4991.9384691625</v>
      </c>
      <c r="L34" s="6"/>
      <c r="M34" s="6"/>
      <c r="N34" s="6"/>
      <c r="O34" s="6"/>
      <c r="P34" s="6"/>
      <c r="Q34" s="6"/>
      <c r="R34" s="5"/>
      <c r="S34" s="9"/>
    </row>
    <row r="35" spans="1:19" s="7" customFormat="1" x14ac:dyDescent="0.2">
      <c r="A35" s="29" t="s">
        <v>16</v>
      </c>
      <c r="B35" s="243" t="s">
        <v>42</v>
      </c>
      <c r="C35" s="263"/>
      <c r="D35" s="231">
        <f>D34/(C34*D36%)*100</f>
        <v>64.494425551124834</v>
      </c>
      <c r="E35" s="231">
        <f>E34/(D34*E36%)*100</f>
        <v>106.35174943953294</v>
      </c>
      <c r="F35" s="231">
        <f>F34/(E34*F36%)*100</f>
        <v>99.413026427633412</v>
      </c>
      <c r="G35" s="234">
        <f>G34/(E34*G36%)*100</f>
        <v>100.93521746254575</v>
      </c>
      <c r="H35" s="234">
        <f>H34/(F34*H36%)*100</f>
        <v>100.85869081970044</v>
      </c>
      <c r="I35" s="234">
        <f>I34/(G34*I36%)*100</f>
        <v>100.88175319734513</v>
      </c>
      <c r="J35" s="234">
        <f>J34/(H34*J36%)*100</f>
        <v>101.17127947079341</v>
      </c>
      <c r="K35" s="234">
        <f>K34/(I34*K36%)*100</f>
        <v>101.20413430871753</v>
      </c>
      <c r="L35" s="6"/>
      <c r="M35" s="6"/>
      <c r="N35" s="6"/>
      <c r="O35" s="6"/>
      <c r="P35" s="6"/>
      <c r="Q35" s="6"/>
      <c r="R35" s="5"/>
      <c r="S35" s="9"/>
    </row>
    <row r="36" spans="1:19" s="7" customFormat="1" x14ac:dyDescent="0.2">
      <c r="A36" s="29" t="s">
        <v>13</v>
      </c>
      <c r="B36" s="243" t="s">
        <v>42</v>
      </c>
      <c r="C36" s="263"/>
      <c r="D36" s="231">
        <f>'Дефлятор базовый'!$B$44</f>
        <v>115.50868156323209</v>
      </c>
      <c r="E36" s="234">
        <f>'Дефлятор базовый'!$C$44</f>
        <v>106.32794962302781</v>
      </c>
      <c r="F36" s="234">
        <v>104.8</v>
      </c>
      <c r="G36" s="234">
        <f>'Дефлятор базовый'!$D$44</f>
        <v>104.6163057369985</v>
      </c>
      <c r="H36" s="234">
        <v>104.7</v>
      </c>
      <c r="I36" s="234">
        <f>'Дефлятор базовый'!$E$44</f>
        <v>104.53578878093381</v>
      </c>
      <c r="J36" s="234">
        <v>104.2</v>
      </c>
      <c r="K36" s="234">
        <f>'Дефлятор базовый'!$F$44</f>
        <v>104.08090380266306</v>
      </c>
      <c r="L36" s="6"/>
      <c r="M36" s="6"/>
      <c r="N36" s="6"/>
      <c r="O36" s="6"/>
      <c r="P36" s="6"/>
      <c r="Q36" s="6"/>
      <c r="R36" s="5"/>
      <c r="S36" s="9"/>
    </row>
    <row r="37" spans="1:19" s="7" customFormat="1" ht="36" hidden="1" x14ac:dyDescent="0.2">
      <c r="A37" s="33" t="s">
        <v>104</v>
      </c>
      <c r="B37" s="34" t="s">
        <v>40</v>
      </c>
      <c r="C37" s="35"/>
      <c r="D37" s="36"/>
      <c r="E37" s="24"/>
      <c r="F37" s="24"/>
      <c r="G37" s="24"/>
      <c r="H37" s="24"/>
      <c r="I37" s="24"/>
      <c r="J37" s="24"/>
      <c r="K37" s="24"/>
      <c r="L37" s="6"/>
      <c r="M37" s="6"/>
      <c r="N37" s="6"/>
      <c r="O37" s="6"/>
      <c r="P37" s="6"/>
      <c r="Q37" s="6"/>
      <c r="R37" s="9"/>
      <c r="S37" s="9"/>
    </row>
    <row r="38" spans="1:19" s="7" customFormat="1" hidden="1" x14ac:dyDescent="0.2">
      <c r="A38" s="29" t="s">
        <v>16</v>
      </c>
      <c r="B38" s="34" t="s">
        <v>42</v>
      </c>
      <c r="C38" s="35"/>
      <c r="D38" s="36"/>
      <c r="E38" s="24"/>
      <c r="F38" s="24"/>
      <c r="G38" s="24"/>
      <c r="H38" s="24"/>
      <c r="I38" s="24"/>
      <c r="J38" s="24"/>
      <c r="K38" s="24"/>
      <c r="L38" s="6"/>
      <c r="M38" s="6"/>
      <c r="N38" s="6"/>
      <c r="O38" s="6"/>
      <c r="P38" s="6"/>
      <c r="Q38" s="6"/>
      <c r="R38" s="9"/>
      <c r="S38" s="9"/>
    </row>
    <row r="39" spans="1:19" s="7" customFormat="1" hidden="1" x14ac:dyDescent="0.2">
      <c r="A39" s="29" t="s">
        <v>13</v>
      </c>
      <c r="B39" s="34" t="s">
        <v>42</v>
      </c>
      <c r="C39" s="35"/>
      <c r="D39" s="36"/>
      <c r="E39" s="24"/>
      <c r="F39" s="24"/>
      <c r="G39" s="24"/>
      <c r="H39" s="24"/>
      <c r="I39" s="24"/>
      <c r="J39" s="24"/>
      <c r="K39" s="24"/>
      <c r="L39" s="6"/>
      <c r="M39" s="6"/>
      <c r="N39" s="6"/>
      <c r="O39" s="6"/>
      <c r="P39" s="6"/>
      <c r="Q39" s="6"/>
      <c r="R39" s="9"/>
      <c r="S39" s="9"/>
    </row>
    <row r="40" spans="1:19" s="7" customFormat="1" ht="36" x14ac:dyDescent="0.2">
      <c r="A40" s="269" t="s">
        <v>103</v>
      </c>
      <c r="B40" s="243" t="s">
        <v>40</v>
      </c>
      <c r="C40" s="291">
        <v>14.92</v>
      </c>
      <c r="D40" s="292">
        <v>14.89</v>
      </c>
      <c r="E40" s="257">
        <v>14.91</v>
      </c>
      <c r="F40" s="257">
        <f>G40-1.1</f>
        <v>13.84</v>
      </c>
      <c r="G40" s="257">
        <v>14.94</v>
      </c>
      <c r="H40" s="257">
        <f>I40-1.1</f>
        <v>13.9</v>
      </c>
      <c r="I40" s="257">
        <v>15</v>
      </c>
      <c r="J40" s="257">
        <f>K40-1.09</f>
        <v>13.93</v>
      </c>
      <c r="K40" s="257">
        <v>15.02</v>
      </c>
      <c r="L40" s="6"/>
      <c r="M40" s="6"/>
      <c r="N40" s="6"/>
      <c r="O40" s="6"/>
      <c r="P40" s="6"/>
      <c r="Q40" s="6"/>
      <c r="R40" s="9"/>
      <c r="S40" s="9"/>
    </row>
    <row r="41" spans="1:19" s="7" customFormat="1" x14ac:dyDescent="0.2">
      <c r="A41" s="29" t="s">
        <v>16</v>
      </c>
      <c r="B41" s="243" t="s">
        <v>42</v>
      </c>
      <c r="C41" s="291"/>
      <c r="D41" s="292">
        <f>D40/(C40*D42%)*100</f>
        <v>88.129442329770015</v>
      </c>
      <c r="E41" s="292">
        <f>E40/(D40*E42%)*100</f>
        <v>95.733640366523517</v>
      </c>
      <c r="F41" s="292">
        <f>F40/(E40*F42%)*100</f>
        <v>88.067939579284683</v>
      </c>
      <c r="G41" s="257">
        <f>G40/(E40*G42%)*100</f>
        <v>95.207813383575868</v>
      </c>
      <c r="H41" s="257">
        <f>H40/(F40*H42%)*100</f>
        <v>95.925048721643464</v>
      </c>
      <c r="I41" s="257">
        <f>I40/(G40*I42%)*100</f>
        <v>96.046480576819263</v>
      </c>
      <c r="J41" s="257">
        <f>J40/(H40*J42%)*100</f>
        <v>95.900313242229188</v>
      </c>
      <c r="K41" s="257">
        <f>K40/(I40*K42%)*100</f>
        <v>96.034013655406923</v>
      </c>
      <c r="L41" s="6"/>
      <c r="M41" s="6"/>
      <c r="N41" s="6"/>
      <c r="O41" s="6"/>
      <c r="P41" s="6"/>
      <c r="Q41" s="6"/>
      <c r="R41" s="9"/>
      <c r="S41" s="9"/>
    </row>
    <row r="42" spans="1:19" s="7" customFormat="1" x14ac:dyDescent="0.2">
      <c r="A42" s="29" t="s">
        <v>13</v>
      </c>
      <c r="B42" s="243" t="s">
        <v>42</v>
      </c>
      <c r="C42" s="47"/>
      <c r="D42" s="292">
        <f>'Дефлятор базовый'!$B$47</f>
        <v>113.24130163050978</v>
      </c>
      <c r="E42" s="257">
        <f>'Дефлятор базовый'!$C$47</f>
        <v>104.59679371961705</v>
      </c>
      <c r="F42" s="257">
        <v>105.4</v>
      </c>
      <c r="G42" s="257">
        <f>'Дефлятор базовый'!$D$47</f>
        <v>105.24473116483347</v>
      </c>
      <c r="H42" s="257">
        <v>104.7</v>
      </c>
      <c r="I42" s="257">
        <f>'Дефлятор базовый'!$E$47</f>
        <v>104.5343939962488</v>
      </c>
      <c r="J42" s="257">
        <v>104.5</v>
      </c>
      <c r="K42" s="257">
        <f>'Дефлятор базовый'!$F$47</f>
        <v>104.26861225714855</v>
      </c>
      <c r="L42" s="6"/>
      <c r="M42" s="6"/>
      <c r="N42" s="6"/>
      <c r="O42" s="6"/>
      <c r="P42" s="6"/>
      <c r="Q42" s="6"/>
      <c r="R42" s="9"/>
      <c r="S42" s="9"/>
    </row>
    <row r="43" spans="1:19" s="278" customFormat="1" ht="46.5" hidden="1" customHeight="1" x14ac:dyDescent="0.2">
      <c r="A43" s="271" t="s">
        <v>102</v>
      </c>
      <c r="B43" s="272" t="s">
        <v>40</v>
      </c>
      <c r="C43" s="273"/>
      <c r="D43" s="274"/>
      <c r="E43" s="275"/>
      <c r="F43" s="275"/>
      <c r="G43" s="275"/>
      <c r="H43" s="275"/>
      <c r="I43" s="275"/>
      <c r="J43" s="275"/>
      <c r="K43" s="275"/>
      <c r="L43" s="276"/>
      <c r="M43" s="276"/>
      <c r="N43" s="276"/>
      <c r="O43" s="276"/>
      <c r="P43" s="276"/>
      <c r="Q43" s="276"/>
      <c r="R43" s="280"/>
      <c r="S43" s="277"/>
    </row>
    <row r="44" spans="1:19" s="278" customFormat="1" ht="23.25" hidden="1" customHeight="1" x14ac:dyDescent="0.2">
      <c r="A44" s="279" t="s">
        <v>16</v>
      </c>
      <c r="B44" s="272" t="s">
        <v>42</v>
      </c>
      <c r="C44" s="273"/>
      <c r="D44" s="274"/>
      <c r="E44" s="275"/>
      <c r="F44" s="275"/>
      <c r="G44" s="275"/>
      <c r="H44" s="275"/>
      <c r="I44" s="275"/>
      <c r="J44" s="275"/>
      <c r="K44" s="275"/>
      <c r="L44" s="276"/>
      <c r="M44" s="276"/>
      <c r="N44" s="276"/>
      <c r="O44" s="276"/>
      <c r="P44" s="276"/>
      <c r="Q44" s="276"/>
      <c r="R44" s="277"/>
      <c r="S44" s="277"/>
    </row>
    <row r="45" spans="1:19" s="278" customFormat="1" hidden="1" x14ac:dyDescent="0.2">
      <c r="A45" s="279" t="s">
        <v>13</v>
      </c>
      <c r="B45" s="272" t="s">
        <v>42</v>
      </c>
      <c r="C45" s="273"/>
      <c r="D45" s="274"/>
      <c r="E45" s="275"/>
      <c r="F45" s="275"/>
      <c r="G45" s="275"/>
      <c r="H45" s="275"/>
      <c r="I45" s="275"/>
      <c r="J45" s="275"/>
      <c r="K45" s="275"/>
      <c r="L45" s="276"/>
      <c r="M45" s="276"/>
      <c r="N45" s="276"/>
      <c r="O45" s="276"/>
      <c r="P45" s="276"/>
      <c r="Q45" s="276"/>
      <c r="R45" s="277"/>
      <c r="S45" s="277"/>
    </row>
    <row r="46" spans="1:19" s="278" customFormat="1" ht="36" hidden="1" x14ac:dyDescent="0.2">
      <c r="A46" s="271" t="s">
        <v>101</v>
      </c>
      <c r="B46" s="272" t="s">
        <v>40</v>
      </c>
      <c r="C46" s="273"/>
      <c r="D46" s="274"/>
      <c r="E46" s="275"/>
      <c r="F46" s="275"/>
      <c r="G46" s="275"/>
      <c r="H46" s="275"/>
      <c r="I46" s="275"/>
      <c r="J46" s="275"/>
      <c r="K46" s="275"/>
      <c r="L46" s="276"/>
      <c r="M46" s="276"/>
      <c r="N46" s="276"/>
      <c r="O46" s="276"/>
      <c r="P46" s="276"/>
      <c r="Q46" s="276"/>
      <c r="R46" s="277"/>
      <c r="S46" s="277"/>
    </row>
    <row r="47" spans="1:19" s="278" customFormat="1" hidden="1" x14ac:dyDescent="0.2">
      <c r="A47" s="279" t="s">
        <v>16</v>
      </c>
      <c r="B47" s="272" t="s">
        <v>42</v>
      </c>
      <c r="C47" s="273"/>
      <c r="D47" s="274"/>
      <c r="E47" s="275"/>
      <c r="F47" s="275"/>
      <c r="G47" s="275"/>
      <c r="H47" s="275"/>
      <c r="I47" s="275"/>
      <c r="J47" s="275"/>
      <c r="K47" s="275"/>
      <c r="L47" s="276"/>
      <c r="M47" s="276"/>
      <c r="N47" s="276"/>
      <c r="O47" s="276"/>
      <c r="P47" s="276"/>
      <c r="Q47" s="276"/>
      <c r="R47" s="277"/>
      <c r="S47" s="277"/>
    </row>
    <row r="48" spans="1:19" s="278" customFormat="1" hidden="1" x14ac:dyDescent="0.2">
      <c r="A48" s="279" t="s">
        <v>13</v>
      </c>
      <c r="B48" s="272" t="s">
        <v>42</v>
      </c>
      <c r="C48" s="273"/>
      <c r="D48" s="274"/>
      <c r="E48" s="275"/>
      <c r="F48" s="275"/>
      <c r="G48" s="275"/>
      <c r="H48" s="275"/>
      <c r="I48" s="275"/>
      <c r="J48" s="275"/>
      <c r="K48" s="275"/>
      <c r="L48" s="276"/>
      <c r="M48" s="276"/>
      <c r="N48" s="276"/>
      <c r="O48" s="276"/>
      <c r="P48" s="276"/>
      <c r="Q48" s="276"/>
      <c r="R48" s="277"/>
      <c r="S48" s="277"/>
    </row>
    <row r="49" spans="1:19" s="278" customFormat="1" ht="36" hidden="1" x14ac:dyDescent="0.2">
      <c r="A49" s="271" t="s">
        <v>100</v>
      </c>
      <c r="B49" s="281" t="s">
        <v>40</v>
      </c>
      <c r="C49" s="273"/>
      <c r="D49" s="274"/>
      <c r="E49" s="275"/>
      <c r="F49" s="275"/>
      <c r="G49" s="275"/>
      <c r="H49" s="275"/>
      <c r="I49" s="275"/>
      <c r="J49" s="275"/>
      <c r="K49" s="275"/>
      <c r="L49" s="276"/>
      <c r="M49" s="276"/>
      <c r="N49" s="276"/>
      <c r="O49" s="276"/>
      <c r="P49" s="276"/>
      <c r="Q49" s="276"/>
      <c r="R49" s="277"/>
      <c r="S49" s="277"/>
    </row>
    <row r="50" spans="1:19" s="278" customFormat="1" hidden="1" x14ac:dyDescent="0.2">
      <c r="A50" s="279" t="s">
        <v>16</v>
      </c>
      <c r="B50" s="281" t="s">
        <v>42</v>
      </c>
      <c r="C50" s="273"/>
      <c r="D50" s="274"/>
      <c r="E50" s="275"/>
      <c r="F50" s="275"/>
      <c r="G50" s="275"/>
      <c r="H50" s="275"/>
      <c r="I50" s="275"/>
      <c r="J50" s="275"/>
      <c r="K50" s="275"/>
      <c r="L50" s="276"/>
      <c r="M50" s="276"/>
      <c r="N50" s="276"/>
      <c r="O50" s="276"/>
      <c r="P50" s="276"/>
      <c r="Q50" s="276"/>
      <c r="R50" s="277"/>
      <c r="S50" s="277"/>
    </row>
    <row r="51" spans="1:19" s="278" customFormat="1" hidden="1" x14ac:dyDescent="0.2">
      <c r="A51" s="279" t="s">
        <v>13</v>
      </c>
      <c r="B51" s="281" t="s">
        <v>42</v>
      </c>
      <c r="C51" s="273"/>
      <c r="D51" s="274"/>
      <c r="E51" s="275"/>
      <c r="F51" s="275"/>
      <c r="G51" s="275"/>
      <c r="H51" s="275"/>
      <c r="I51" s="275"/>
      <c r="J51" s="275"/>
      <c r="K51" s="275"/>
      <c r="L51" s="276"/>
      <c r="M51" s="276"/>
      <c r="N51" s="276"/>
      <c r="O51" s="276"/>
      <c r="P51" s="276"/>
      <c r="Q51" s="276"/>
      <c r="R51" s="277"/>
      <c r="S51" s="277"/>
    </row>
    <row r="52" spans="1:19" s="278" customFormat="1" ht="36" hidden="1" x14ac:dyDescent="0.2">
      <c r="A52" s="271" t="s">
        <v>99</v>
      </c>
      <c r="B52" s="281" t="s">
        <v>32</v>
      </c>
      <c r="C52" s="273"/>
      <c r="D52" s="274"/>
      <c r="E52" s="275"/>
      <c r="F52" s="275"/>
      <c r="G52" s="275"/>
      <c r="H52" s="275"/>
      <c r="I52" s="275"/>
      <c r="J52" s="275"/>
      <c r="K52" s="275"/>
      <c r="L52" s="276"/>
      <c r="M52" s="276"/>
      <c r="N52" s="276"/>
      <c r="O52" s="276"/>
      <c r="P52" s="276"/>
      <c r="Q52" s="276"/>
      <c r="R52" s="277"/>
      <c r="S52" s="277"/>
    </row>
    <row r="53" spans="1:19" s="278" customFormat="1" ht="18" hidden="1" customHeight="1" x14ac:dyDescent="0.2">
      <c r="A53" s="279" t="s">
        <v>16</v>
      </c>
      <c r="B53" s="281" t="s">
        <v>42</v>
      </c>
      <c r="C53" s="273"/>
      <c r="D53" s="274"/>
      <c r="E53" s="275"/>
      <c r="F53" s="275"/>
      <c r="G53" s="275"/>
      <c r="H53" s="275"/>
      <c r="I53" s="275"/>
      <c r="J53" s="275"/>
      <c r="K53" s="275"/>
      <c r="L53" s="276"/>
      <c r="M53" s="276"/>
      <c r="N53" s="276"/>
      <c r="O53" s="276"/>
      <c r="P53" s="276"/>
      <c r="Q53" s="276"/>
      <c r="R53" s="277"/>
      <c r="S53" s="277"/>
    </row>
    <row r="54" spans="1:19" s="278" customFormat="1" ht="15" hidden="1" customHeight="1" x14ac:dyDescent="0.2">
      <c r="A54" s="279" t="s">
        <v>13</v>
      </c>
      <c r="B54" s="281" t="s">
        <v>42</v>
      </c>
      <c r="C54" s="273"/>
      <c r="D54" s="274"/>
      <c r="E54" s="275"/>
      <c r="F54" s="275"/>
      <c r="G54" s="275"/>
      <c r="H54" s="275"/>
      <c r="I54" s="275"/>
      <c r="J54" s="275"/>
      <c r="K54" s="275"/>
      <c r="L54" s="276"/>
      <c r="M54" s="276"/>
      <c r="N54" s="276"/>
      <c r="O54" s="276"/>
      <c r="P54" s="276"/>
      <c r="Q54" s="276"/>
      <c r="R54" s="277"/>
      <c r="S54" s="277"/>
    </row>
    <row r="55" spans="1:19" s="278" customFormat="1" ht="52.5" hidden="1" customHeight="1" x14ac:dyDescent="0.2">
      <c r="A55" s="282" t="s">
        <v>110</v>
      </c>
      <c r="B55" s="281" t="s">
        <v>40</v>
      </c>
      <c r="C55" s="273"/>
      <c r="D55" s="274"/>
      <c r="E55" s="275"/>
      <c r="F55" s="275"/>
      <c r="G55" s="275"/>
      <c r="H55" s="275"/>
      <c r="I55" s="275"/>
      <c r="J55" s="275"/>
      <c r="K55" s="275"/>
      <c r="L55" s="276"/>
      <c r="M55" s="276"/>
      <c r="N55" s="276"/>
      <c r="O55" s="276"/>
      <c r="P55" s="276"/>
      <c r="Q55" s="276"/>
      <c r="R55" s="277"/>
      <c r="S55" s="277"/>
    </row>
    <row r="56" spans="1:19" s="278" customFormat="1" ht="15.75" hidden="1" customHeight="1" x14ac:dyDescent="0.2">
      <c r="A56" s="283" t="s">
        <v>16</v>
      </c>
      <c r="B56" s="281" t="s">
        <v>42</v>
      </c>
      <c r="C56" s="273"/>
      <c r="D56" s="274"/>
      <c r="E56" s="275"/>
      <c r="F56" s="275"/>
      <c r="G56" s="275"/>
      <c r="H56" s="275"/>
      <c r="I56" s="275"/>
      <c r="J56" s="275"/>
      <c r="K56" s="275"/>
      <c r="L56" s="276"/>
      <c r="M56" s="276"/>
      <c r="N56" s="276"/>
      <c r="O56" s="276"/>
      <c r="P56" s="276"/>
      <c r="Q56" s="276"/>
      <c r="R56" s="277"/>
      <c r="S56" s="277"/>
    </row>
    <row r="57" spans="1:19" s="278" customFormat="1" ht="18" hidden="1" customHeight="1" x14ac:dyDescent="0.2">
      <c r="A57" s="283" t="s">
        <v>13</v>
      </c>
      <c r="B57" s="281" t="s">
        <v>42</v>
      </c>
      <c r="C57" s="273"/>
      <c r="D57" s="274"/>
      <c r="E57" s="275"/>
      <c r="F57" s="275"/>
      <c r="G57" s="275"/>
      <c r="H57" s="275"/>
      <c r="I57" s="275"/>
      <c r="J57" s="275"/>
      <c r="K57" s="275"/>
      <c r="L57" s="276"/>
      <c r="M57" s="276"/>
      <c r="N57" s="276"/>
      <c r="O57" s="276"/>
      <c r="P57" s="276"/>
      <c r="Q57" s="276"/>
      <c r="R57" s="277"/>
      <c r="S57" s="277"/>
    </row>
    <row r="58" spans="1:19" s="286" customFormat="1" ht="45.75" hidden="1" customHeight="1" x14ac:dyDescent="0.2">
      <c r="A58" s="282" t="s">
        <v>111</v>
      </c>
      <c r="B58" s="281" t="s">
        <v>40</v>
      </c>
      <c r="C58" s="275"/>
      <c r="D58" s="284"/>
      <c r="E58" s="284"/>
      <c r="F58" s="284"/>
      <c r="G58" s="284"/>
      <c r="H58" s="284"/>
      <c r="I58" s="284"/>
      <c r="J58" s="284"/>
      <c r="K58" s="284"/>
      <c r="L58" s="285"/>
      <c r="M58" s="285"/>
      <c r="N58" s="285"/>
      <c r="O58" s="285"/>
      <c r="P58" s="285"/>
      <c r="Q58" s="285"/>
      <c r="R58" s="285"/>
      <c r="S58" s="285"/>
    </row>
    <row r="59" spans="1:19" s="286" customFormat="1" ht="19.5" hidden="1" customHeight="1" x14ac:dyDescent="0.2">
      <c r="A59" s="283" t="s">
        <v>16</v>
      </c>
      <c r="B59" s="281" t="s">
        <v>42</v>
      </c>
      <c r="C59" s="275"/>
      <c r="D59" s="284"/>
      <c r="E59" s="284"/>
      <c r="F59" s="284"/>
      <c r="G59" s="284"/>
      <c r="H59" s="284"/>
      <c r="I59" s="284"/>
      <c r="J59" s="284"/>
      <c r="K59" s="284"/>
      <c r="L59" s="285"/>
      <c r="M59" s="285"/>
      <c r="N59" s="285"/>
      <c r="O59" s="285"/>
      <c r="P59" s="285"/>
      <c r="Q59" s="285"/>
      <c r="R59" s="285"/>
      <c r="S59" s="285"/>
    </row>
    <row r="60" spans="1:19" s="286" customFormat="1" ht="18.75" hidden="1" customHeight="1" x14ac:dyDescent="0.2">
      <c r="A60" s="283" t="s">
        <v>13</v>
      </c>
      <c r="B60" s="281" t="s">
        <v>42</v>
      </c>
      <c r="C60" s="275"/>
      <c r="D60" s="284"/>
      <c r="E60" s="284"/>
      <c r="F60" s="284"/>
      <c r="G60" s="284"/>
      <c r="H60" s="284"/>
      <c r="I60" s="284"/>
      <c r="J60" s="284"/>
      <c r="K60" s="284"/>
      <c r="L60" s="285"/>
      <c r="M60" s="285"/>
      <c r="N60" s="285"/>
      <c r="O60" s="285"/>
      <c r="P60" s="285"/>
      <c r="Q60" s="285"/>
      <c r="R60" s="285"/>
      <c r="S60" s="285"/>
    </row>
    <row r="61" spans="1:19" s="288" customFormat="1" ht="46.5" hidden="1" customHeight="1" x14ac:dyDescent="0.25">
      <c r="A61" s="282" t="s">
        <v>112</v>
      </c>
      <c r="B61" s="281" t="s">
        <v>40</v>
      </c>
      <c r="C61" s="273"/>
      <c r="D61" s="284"/>
      <c r="E61" s="284"/>
      <c r="F61" s="284"/>
      <c r="G61" s="284"/>
      <c r="H61" s="284"/>
      <c r="I61" s="284"/>
      <c r="J61" s="284"/>
      <c r="K61" s="284"/>
      <c r="L61" s="287"/>
      <c r="M61" s="287"/>
      <c r="N61" s="287"/>
      <c r="O61" s="287"/>
      <c r="P61" s="287"/>
      <c r="Q61" s="287"/>
      <c r="R61" s="287"/>
      <c r="S61" s="287"/>
    </row>
    <row r="62" spans="1:19" s="290" customFormat="1" ht="17.25" hidden="1" customHeight="1" x14ac:dyDescent="0.2">
      <c r="A62" s="283" t="s">
        <v>16</v>
      </c>
      <c r="B62" s="281" t="s">
        <v>42</v>
      </c>
      <c r="C62" s="275"/>
      <c r="D62" s="284"/>
      <c r="E62" s="284"/>
      <c r="F62" s="284"/>
      <c r="G62" s="284"/>
      <c r="H62" s="284"/>
      <c r="I62" s="284"/>
      <c r="J62" s="284"/>
      <c r="K62" s="284"/>
      <c r="L62" s="289"/>
      <c r="M62" s="289"/>
      <c r="N62" s="289"/>
      <c r="O62" s="289"/>
      <c r="P62" s="289"/>
      <c r="Q62" s="289"/>
      <c r="R62" s="289"/>
      <c r="S62" s="289"/>
    </row>
    <row r="63" spans="1:19" s="290" customFormat="1" hidden="1" x14ac:dyDescent="0.2">
      <c r="A63" s="283" t="s">
        <v>13</v>
      </c>
      <c r="B63" s="281" t="s">
        <v>42</v>
      </c>
      <c r="C63" s="275"/>
      <c r="D63" s="284"/>
      <c r="E63" s="284"/>
      <c r="F63" s="284"/>
      <c r="G63" s="284"/>
      <c r="H63" s="284"/>
      <c r="I63" s="284"/>
      <c r="J63" s="284"/>
      <c r="K63" s="284"/>
      <c r="L63" s="289"/>
      <c r="M63" s="289"/>
      <c r="N63" s="289"/>
      <c r="O63" s="289"/>
      <c r="P63" s="289"/>
      <c r="Q63" s="289"/>
      <c r="R63" s="289"/>
      <c r="S63" s="289"/>
    </row>
    <row r="64" spans="1:19" s="290" customFormat="1" ht="36" hidden="1" x14ac:dyDescent="0.2">
      <c r="A64" s="282" t="s">
        <v>113</v>
      </c>
      <c r="B64" s="281" t="s">
        <v>40</v>
      </c>
      <c r="C64" s="275"/>
      <c r="D64" s="284"/>
      <c r="E64" s="284"/>
      <c r="F64" s="284"/>
      <c r="G64" s="284"/>
      <c r="H64" s="284"/>
      <c r="I64" s="284"/>
      <c r="J64" s="284"/>
      <c r="K64" s="284"/>
      <c r="L64" s="289"/>
      <c r="M64" s="289"/>
      <c r="N64" s="289"/>
      <c r="O64" s="289"/>
      <c r="P64" s="289"/>
      <c r="Q64" s="289"/>
      <c r="R64" s="289"/>
      <c r="S64" s="289"/>
    </row>
    <row r="65" spans="1:19" s="290" customFormat="1" ht="16.5" hidden="1" customHeight="1" x14ac:dyDescent="0.2">
      <c r="A65" s="283" t="s">
        <v>16</v>
      </c>
      <c r="B65" s="281" t="s">
        <v>42</v>
      </c>
      <c r="C65" s="275"/>
      <c r="D65" s="284"/>
      <c r="E65" s="284"/>
      <c r="F65" s="284"/>
      <c r="G65" s="284"/>
      <c r="H65" s="284"/>
      <c r="I65" s="284"/>
      <c r="J65" s="284"/>
      <c r="K65" s="284"/>
      <c r="L65" s="289"/>
      <c r="M65" s="289"/>
      <c r="N65" s="289"/>
      <c r="O65" s="289"/>
      <c r="P65" s="289"/>
      <c r="Q65" s="289"/>
      <c r="R65" s="289"/>
      <c r="S65" s="289"/>
    </row>
    <row r="66" spans="1:19" s="290" customFormat="1" ht="16.5" hidden="1" customHeight="1" x14ac:dyDescent="0.2">
      <c r="A66" s="283" t="s">
        <v>13</v>
      </c>
      <c r="B66" s="281" t="s">
        <v>42</v>
      </c>
      <c r="C66" s="275"/>
      <c r="D66" s="284"/>
      <c r="E66" s="284"/>
      <c r="F66" s="284"/>
      <c r="G66" s="284"/>
      <c r="H66" s="284"/>
      <c r="I66" s="284"/>
      <c r="J66" s="284"/>
      <c r="K66" s="284"/>
      <c r="L66" s="289"/>
      <c r="M66" s="289"/>
      <c r="N66" s="289"/>
      <c r="O66" s="289"/>
      <c r="P66" s="289"/>
      <c r="Q66" s="289"/>
      <c r="R66" s="289"/>
      <c r="S66" s="289"/>
    </row>
    <row r="67" spans="1:19" s="290" customFormat="1" ht="36" hidden="1" x14ac:dyDescent="0.2">
      <c r="A67" s="282" t="s">
        <v>114</v>
      </c>
      <c r="B67" s="272" t="s">
        <v>40</v>
      </c>
      <c r="C67" s="275"/>
      <c r="D67" s="284"/>
      <c r="E67" s="284"/>
      <c r="F67" s="284"/>
      <c r="G67" s="284"/>
      <c r="H67" s="284"/>
      <c r="I67" s="284"/>
      <c r="J67" s="284"/>
      <c r="K67" s="284"/>
      <c r="L67" s="289"/>
      <c r="M67" s="289"/>
      <c r="N67" s="289"/>
      <c r="O67" s="289"/>
      <c r="P67" s="289"/>
      <c r="Q67" s="289"/>
      <c r="R67" s="289"/>
      <c r="S67" s="289"/>
    </row>
    <row r="68" spans="1:19" s="290" customFormat="1" hidden="1" x14ac:dyDescent="0.2">
      <c r="A68" s="283" t="s">
        <v>16</v>
      </c>
      <c r="B68" s="272" t="s">
        <v>42</v>
      </c>
      <c r="C68" s="275"/>
      <c r="D68" s="284"/>
      <c r="E68" s="284"/>
      <c r="F68" s="284"/>
      <c r="G68" s="284"/>
      <c r="H68" s="284"/>
      <c r="I68" s="284"/>
      <c r="J68" s="284"/>
      <c r="K68" s="284"/>
      <c r="L68" s="289"/>
      <c r="M68" s="289"/>
      <c r="N68" s="289"/>
      <c r="O68" s="289"/>
      <c r="P68" s="289"/>
      <c r="Q68" s="289"/>
      <c r="R68" s="289"/>
      <c r="S68" s="289"/>
    </row>
    <row r="69" spans="1:19" s="290" customFormat="1" hidden="1" x14ac:dyDescent="0.2">
      <c r="A69" s="283" t="s">
        <v>13</v>
      </c>
      <c r="B69" s="272" t="s">
        <v>42</v>
      </c>
      <c r="C69" s="275"/>
      <c r="D69" s="284"/>
      <c r="E69" s="284"/>
      <c r="F69" s="284"/>
      <c r="G69" s="284"/>
      <c r="H69" s="284"/>
      <c r="I69" s="284"/>
      <c r="J69" s="284"/>
      <c r="K69" s="284"/>
      <c r="L69" s="289"/>
      <c r="M69" s="289"/>
      <c r="N69" s="289"/>
      <c r="O69" s="289"/>
      <c r="P69" s="289"/>
      <c r="Q69" s="289"/>
      <c r="R69" s="289"/>
      <c r="S69" s="289"/>
    </row>
    <row r="70" spans="1:19" s="290" customFormat="1" ht="36" hidden="1" x14ac:dyDescent="0.2">
      <c r="A70" s="282" t="s">
        <v>115</v>
      </c>
      <c r="B70" s="272" t="s">
        <v>40</v>
      </c>
      <c r="C70" s="275"/>
      <c r="D70" s="284"/>
      <c r="E70" s="284"/>
      <c r="F70" s="284"/>
      <c r="G70" s="284"/>
      <c r="H70" s="284"/>
      <c r="I70" s="284"/>
      <c r="J70" s="284"/>
      <c r="K70" s="284"/>
      <c r="L70" s="289"/>
      <c r="M70" s="289"/>
      <c r="N70" s="289"/>
      <c r="O70" s="289"/>
      <c r="P70" s="289"/>
      <c r="Q70" s="289"/>
      <c r="R70" s="289"/>
      <c r="S70" s="289"/>
    </row>
    <row r="71" spans="1:19" s="290" customFormat="1" hidden="1" x14ac:dyDescent="0.2">
      <c r="A71" s="283" t="s">
        <v>16</v>
      </c>
      <c r="B71" s="272" t="s">
        <v>42</v>
      </c>
      <c r="C71" s="275"/>
      <c r="D71" s="284"/>
      <c r="E71" s="284"/>
      <c r="F71" s="284"/>
      <c r="G71" s="284"/>
      <c r="H71" s="284"/>
      <c r="I71" s="284"/>
      <c r="J71" s="284"/>
      <c r="K71" s="284"/>
      <c r="L71" s="289"/>
      <c r="M71" s="289"/>
      <c r="N71" s="289"/>
      <c r="O71" s="289"/>
      <c r="P71" s="289"/>
      <c r="Q71" s="289"/>
      <c r="R71" s="289"/>
      <c r="S71" s="289"/>
    </row>
    <row r="72" spans="1:19" s="290" customFormat="1" hidden="1" x14ac:dyDescent="0.2">
      <c r="A72" s="283" t="s">
        <v>13</v>
      </c>
      <c r="B72" s="272" t="s">
        <v>42</v>
      </c>
      <c r="C72" s="275"/>
      <c r="D72" s="284"/>
      <c r="E72" s="284"/>
      <c r="F72" s="284"/>
      <c r="G72" s="284"/>
      <c r="H72" s="284"/>
      <c r="I72" s="284"/>
      <c r="J72" s="284"/>
      <c r="K72" s="284"/>
      <c r="L72" s="289"/>
      <c r="M72" s="289"/>
      <c r="N72" s="289"/>
      <c r="O72" s="289"/>
      <c r="P72" s="289"/>
      <c r="Q72" s="289"/>
      <c r="R72" s="289"/>
      <c r="S72" s="289"/>
    </row>
    <row r="73" spans="1:19" s="290" customFormat="1" ht="36" hidden="1" x14ac:dyDescent="0.2">
      <c r="A73" s="282" t="s">
        <v>116</v>
      </c>
      <c r="B73" s="272" t="s">
        <v>40</v>
      </c>
      <c r="C73" s="275"/>
      <c r="D73" s="284"/>
      <c r="E73" s="284"/>
      <c r="F73" s="284"/>
      <c r="G73" s="284"/>
      <c r="H73" s="284"/>
      <c r="I73" s="284"/>
      <c r="J73" s="284"/>
      <c r="K73" s="284"/>
      <c r="L73" s="289"/>
      <c r="M73" s="289"/>
      <c r="N73" s="289"/>
      <c r="O73" s="289"/>
      <c r="P73" s="289"/>
      <c r="Q73" s="289"/>
      <c r="R73" s="289"/>
      <c r="S73" s="289"/>
    </row>
    <row r="74" spans="1:19" s="290" customFormat="1" hidden="1" x14ac:dyDescent="0.2">
      <c r="A74" s="283" t="s">
        <v>16</v>
      </c>
      <c r="B74" s="272" t="s">
        <v>42</v>
      </c>
      <c r="C74" s="275"/>
      <c r="D74" s="284"/>
      <c r="E74" s="284"/>
      <c r="F74" s="284"/>
      <c r="G74" s="284"/>
      <c r="H74" s="284"/>
      <c r="I74" s="284"/>
      <c r="J74" s="284"/>
      <c r="K74" s="284"/>
      <c r="L74" s="289"/>
      <c r="M74" s="289"/>
      <c r="N74" s="289"/>
      <c r="O74" s="289"/>
      <c r="P74" s="289"/>
      <c r="Q74" s="289"/>
      <c r="R74" s="289"/>
      <c r="S74" s="289"/>
    </row>
    <row r="75" spans="1:19" s="290" customFormat="1" hidden="1" x14ac:dyDescent="0.2">
      <c r="A75" s="283" t="s">
        <v>13</v>
      </c>
      <c r="B75" s="272" t="s">
        <v>42</v>
      </c>
      <c r="C75" s="275"/>
      <c r="D75" s="284"/>
      <c r="E75" s="284"/>
      <c r="F75" s="284"/>
      <c r="G75" s="284"/>
      <c r="H75" s="284"/>
      <c r="I75" s="284"/>
      <c r="J75" s="284"/>
      <c r="K75" s="284"/>
      <c r="L75" s="289"/>
      <c r="M75" s="289"/>
      <c r="N75" s="289"/>
      <c r="O75" s="289"/>
      <c r="P75" s="289"/>
      <c r="Q75" s="289"/>
      <c r="R75" s="289"/>
      <c r="S75" s="289"/>
    </row>
    <row r="76" spans="1:19" s="290" customFormat="1" ht="36" hidden="1" x14ac:dyDescent="0.2">
      <c r="A76" s="282" t="s">
        <v>117</v>
      </c>
      <c r="B76" s="272" t="s">
        <v>40</v>
      </c>
      <c r="C76" s="275"/>
      <c r="D76" s="284"/>
      <c r="E76" s="284"/>
      <c r="F76" s="284"/>
      <c r="G76" s="284"/>
      <c r="H76" s="284"/>
      <c r="I76" s="284"/>
      <c r="J76" s="284"/>
      <c r="K76" s="284"/>
      <c r="L76" s="289"/>
      <c r="M76" s="289"/>
      <c r="N76" s="289"/>
      <c r="O76" s="289"/>
      <c r="P76" s="289"/>
      <c r="Q76" s="289"/>
      <c r="R76" s="289"/>
      <c r="S76" s="289"/>
    </row>
    <row r="77" spans="1:19" s="290" customFormat="1" hidden="1" x14ac:dyDescent="0.2">
      <c r="A77" s="283" t="s">
        <v>16</v>
      </c>
      <c r="B77" s="272" t="s">
        <v>42</v>
      </c>
      <c r="C77" s="275"/>
      <c r="D77" s="284"/>
      <c r="E77" s="284"/>
      <c r="F77" s="284"/>
      <c r="G77" s="284"/>
      <c r="H77" s="284"/>
      <c r="I77" s="284"/>
      <c r="J77" s="284"/>
      <c r="K77" s="284"/>
      <c r="L77" s="289"/>
      <c r="M77" s="289"/>
      <c r="N77" s="289"/>
      <c r="O77" s="289"/>
      <c r="P77" s="289"/>
      <c r="Q77" s="289"/>
      <c r="R77" s="289"/>
      <c r="S77" s="289"/>
    </row>
    <row r="78" spans="1:19" s="290" customFormat="1" hidden="1" x14ac:dyDescent="0.2">
      <c r="A78" s="283" t="s">
        <v>13</v>
      </c>
      <c r="B78" s="272" t="s">
        <v>42</v>
      </c>
      <c r="C78" s="275"/>
      <c r="D78" s="284"/>
      <c r="E78" s="284"/>
      <c r="F78" s="284"/>
      <c r="G78" s="284"/>
      <c r="H78" s="284"/>
      <c r="I78" s="284"/>
      <c r="J78" s="284"/>
      <c r="K78" s="284"/>
      <c r="L78" s="289"/>
      <c r="M78" s="289"/>
      <c r="N78" s="289"/>
      <c r="O78" s="289"/>
      <c r="P78" s="289"/>
      <c r="Q78" s="289"/>
      <c r="R78" s="289"/>
      <c r="S78" s="289"/>
    </row>
    <row r="79" spans="1:19" s="290" customFormat="1" ht="24" hidden="1" x14ac:dyDescent="0.2">
      <c r="A79" s="282" t="s">
        <v>118</v>
      </c>
      <c r="B79" s="272" t="s">
        <v>40</v>
      </c>
      <c r="C79" s="275"/>
      <c r="D79" s="284"/>
      <c r="E79" s="284"/>
      <c r="F79" s="284"/>
      <c r="G79" s="284"/>
      <c r="H79" s="284"/>
      <c r="I79" s="284"/>
      <c r="J79" s="284"/>
      <c r="K79" s="284"/>
      <c r="L79" s="289"/>
      <c r="M79" s="289"/>
      <c r="N79" s="289"/>
      <c r="O79" s="289"/>
      <c r="P79" s="289"/>
      <c r="Q79" s="289"/>
      <c r="R79" s="289"/>
      <c r="S79" s="289"/>
    </row>
    <row r="80" spans="1:19" s="290" customFormat="1" hidden="1" x14ac:dyDescent="0.2">
      <c r="A80" s="283" t="s">
        <v>16</v>
      </c>
      <c r="B80" s="272" t="s">
        <v>42</v>
      </c>
      <c r="C80" s="275"/>
      <c r="D80" s="284"/>
      <c r="E80" s="284"/>
      <c r="F80" s="284"/>
      <c r="G80" s="284"/>
      <c r="H80" s="284"/>
      <c r="I80" s="284"/>
      <c r="J80" s="284"/>
      <c r="K80" s="284"/>
      <c r="L80" s="289"/>
      <c r="M80" s="289"/>
      <c r="N80" s="289"/>
      <c r="O80" s="289"/>
      <c r="P80" s="289"/>
      <c r="Q80" s="289"/>
      <c r="R80" s="289"/>
      <c r="S80" s="289"/>
    </row>
    <row r="81" spans="1:19" s="290" customFormat="1" hidden="1" x14ac:dyDescent="0.2">
      <c r="A81" s="283" t="s">
        <v>13</v>
      </c>
      <c r="B81" s="272" t="s">
        <v>42</v>
      </c>
      <c r="C81" s="275"/>
      <c r="D81" s="284"/>
      <c r="E81" s="284"/>
      <c r="F81" s="284"/>
      <c r="G81" s="284"/>
      <c r="H81" s="284"/>
      <c r="I81" s="284"/>
      <c r="J81" s="284"/>
      <c r="K81" s="284"/>
      <c r="L81" s="289"/>
      <c r="M81" s="289"/>
      <c r="N81" s="289"/>
      <c r="O81" s="289"/>
      <c r="P81" s="289"/>
      <c r="Q81" s="289"/>
      <c r="R81" s="289"/>
      <c r="S81" s="289"/>
    </row>
    <row r="82" spans="1:19" s="290" customFormat="1" ht="36" hidden="1" x14ac:dyDescent="0.2">
      <c r="A82" s="282" t="s">
        <v>119</v>
      </c>
      <c r="B82" s="272" t="s">
        <v>40</v>
      </c>
      <c r="C82" s="275"/>
      <c r="D82" s="284"/>
      <c r="E82" s="284"/>
      <c r="F82" s="284"/>
      <c r="G82" s="284"/>
      <c r="H82" s="284"/>
      <c r="I82" s="284"/>
      <c r="J82" s="284"/>
      <c r="K82" s="284"/>
      <c r="L82" s="289"/>
      <c r="M82" s="289"/>
      <c r="N82" s="289"/>
      <c r="O82" s="289"/>
      <c r="P82" s="289"/>
      <c r="Q82" s="289"/>
      <c r="R82" s="289"/>
      <c r="S82" s="289"/>
    </row>
    <row r="83" spans="1:19" s="290" customFormat="1" hidden="1" x14ac:dyDescent="0.2">
      <c r="A83" s="283" t="s">
        <v>16</v>
      </c>
      <c r="B83" s="272" t="s">
        <v>42</v>
      </c>
      <c r="C83" s="275"/>
      <c r="D83" s="284"/>
      <c r="E83" s="284"/>
      <c r="F83" s="284"/>
      <c r="G83" s="284"/>
      <c r="H83" s="284"/>
      <c r="I83" s="284"/>
      <c r="J83" s="284"/>
      <c r="K83" s="284"/>
      <c r="L83" s="289"/>
      <c r="M83" s="289"/>
      <c r="N83" s="289"/>
      <c r="O83" s="289"/>
      <c r="P83" s="289"/>
      <c r="Q83" s="289"/>
      <c r="R83" s="289"/>
      <c r="S83" s="289"/>
    </row>
    <row r="84" spans="1:19" s="290" customFormat="1" hidden="1" x14ac:dyDescent="0.2">
      <c r="A84" s="283" t="s">
        <v>13</v>
      </c>
      <c r="B84" s="272" t="s">
        <v>42</v>
      </c>
      <c r="C84" s="275"/>
      <c r="D84" s="284"/>
      <c r="E84" s="284"/>
      <c r="F84" s="284"/>
      <c r="G84" s="284"/>
      <c r="H84" s="284"/>
      <c r="I84" s="284"/>
      <c r="J84" s="284"/>
      <c r="K84" s="284"/>
      <c r="L84" s="289"/>
      <c r="M84" s="289"/>
      <c r="N84" s="289"/>
      <c r="O84" s="289"/>
      <c r="P84" s="289"/>
      <c r="Q84" s="289"/>
      <c r="R84" s="289"/>
      <c r="S84" s="289"/>
    </row>
    <row r="85" spans="1:19" s="18" customFormat="1" ht="36" x14ac:dyDescent="0.2">
      <c r="A85" s="41" t="s">
        <v>149</v>
      </c>
      <c r="B85" s="243" t="s">
        <v>40</v>
      </c>
      <c r="C85" s="257">
        <v>1075.51</v>
      </c>
      <c r="D85" s="233">
        <v>1383</v>
      </c>
      <c r="E85" s="233">
        <v>1516</v>
      </c>
      <c r="F85" s="233">
        <f>G85-12</f>
        <v>1648.02</v>
      </c>
      <c r="G85" s="233">
        <f>E85*109.5%</f>
        <v>1660.02</v>
      </c>
      <c r="H85" s="233">
        <f>I85-10</f>
        <v>1807.7219</v>
      </c>
      <c r="I85" s="233">
        <f>G85*109.5%</f>
        <v>1817.7219</v>
      </c>
      <c r="J85" s="233">
        <f>K85-9</f>
        <v>1972.3168710000002</v>
      </c>
      <c r="K85" s="233">
        <f>I85*109%</f>
        <v>1981.3168710000002</v>
      </c>
      <c r="L85" s="17"/>
      <c r="M85" s="17"/>
      <c r="N85" s="17"/>
      <c r="O85" s="17"/>
      <c r="P85" s="17"/>
      <c r="Q85" s="17"/>
      <c r="R85" s="17"/>
      <c r="S85" s="17"/>
    </row>
    <row r="86" spans="1:19" s="18" customFormat="1" x14ac:dyDescent="0.2">
      <c r="A86" s="40" t="s">
        <v>16</v>
      </c>
      <c r="B86" s="243" t="s">
        <v>42</v>
      </c>
      <c r="C86" s="43"/>
      <c r="D86" s="233">
        <f>D85/(C85*D87%)*100</f>
        <v>121.11329649393312</v>
      </c>
      <c r="E86" s="233">
        <f>E85/(D85*E87%)*100</f>
        <v>97.077995994088198</v>
      </c>
      <c r="F86" s="233">
        <f>F85/(E85*F87%)*100</f>
        <v>96.71569686100338</v>
      </c>
      <c r="G86" s="233">
        <f>G85/(E85*G87%)*100</f>
        <v>97.613137952202095</v>
      </c>
      <c r="H86" s="233">
        <f>H85/(F85*H87%)*100</f>
        <v>100.26556825256398</v>
      </c>
      <c r="I86" s="233">
        <f>I85/(G85*I87%)*100</f>
        <v>100.2881579428231</v>
      </c>
      <c r="J86" s="233">
        <f>J85/(H85*J87%)*100</f>
        <v>103.90962348799337</v>
      </c>
      <c r="K86" s="233">
        <f>K85/(I85*K87%)*100</f>
        <v>103.95898109352038</v>
      </c>
      <c r="L86" s="17"/>
      <c r="M86" s="17"/>
      <c r="N86" s="17"/>
      <c r="O86" s="17"/>
      <c r="P86" s="17"/>
      <c r="Q86" s="17"/>
      <c r="R86" s="17"/>
      <c r="S86" s="17"/>
    </row>
    <row r="87" spans="1:19" s="18" customFormat="1" x14ac:dyDescent="0.2">
      <c r="A87" s="40" t="s">
        <v>13</v>
      </c>
      <c r="B87" s="243" t="s">
        <v>42</v>
      </c>
      <c r="C87" s="43"/>
      <c r="D87" s="233">
        <f>'Дефлятор базовый'!$B$73</f>
        <v>106.17344333797011</v>
      </c>
      <c r="E87" s="233">
        <f>'Дефлятор базовый'!$C$73</f>
        <v>112.91619074338112</v>
      </c>
      <c r="F87" s="233">
        <v>112.4</v>
      </c>
      <c r="G87" s="233">
        <f>'Дефлятор базовый'!$D$73</f>
        <v>112.17752271586485</v>
      </c>
      <c r="H87" s="233">
        <v>109.4</v>
      </c>
      <c r="I87" s="233">
        <f>'Дефлятор базовый'!$E$73</f>
        <v>109.18537367335912</v>
      </c>
      <c r="J87" s="233">
        <v>105</v>
      </c>
      <c r="K87" s="233">
        <f>'Дефлятор базовый'!$F$73</f>
        <v>104.84904608861527</v>
      </c>
      <c r="L87" s="17"/>
      <c r="M87" s="17"/>
      <c r="N87" s="17"/>
      <c r="O87" s="17"/>
      <c r="P87" s="17"/>
      <c r="Q87" s="17"/>
      <c r="R87" s="17"/>
      <c r="S87" s="17"/>
    </row>
    <row r="88" spans="1:19" s="18" customFormat="1" ht="48" x14ac:dyDescent="0.2">
      <c r="A88" s="41" t="s">
        <v>150</v>
      </c>
      <c r="B88" s="243" t="s">
        <v>40</v>
      </c>
      <c r="C88" s="257">
        <v>193.6</v>
      </c>
      <c r="D88" s="233">
        <v>242</v>
      </c>
      <c r="E88" s="233">
        <v>257</v>
      </c>
      <c r="F88" s="233">
        <f>G88-10</f>
        <v>263</v>
      </c>
      <c r="G88" s="233">
        <v>273</v>
      </c>
      <c r="H88" s="233">
        <f>I88-10.07</f>
        <v>279.93</v>
      </c>
      <c r="I88" s="233">
        <v>290</v>
      </c>
      <c r="J88" s="233">
        <f>K88-10.05</f>
        <v>297.95</v>
      </c>
      <c r="K88" s="233">
        <v>308</v>
      </c>
      <c r="L88" s="17"/>
      <c r="M88" s="17"/>
      <c r="N88" s="17"/>
      <c r="O88" s="17"/>
      <c r="P88" s="17"/>
      <c r="Q88" s="17"/>
      <c r="R88" s="17"/>
      <c r="S88" s="17"/>
    </row>
    <row r="89" spans="1:19" s="18" customFormat="1" x14ac:dyDescent="0.2">
      <c r="A89" s="40" t="s">
        <v>16</v>
      </c>
      <c r="B89" s="243" t="s">
        <v>42</v>
      </c>
      <c r="C89" s="43"/>
      <c r="D89" s="233">
        <f>D88/(C88*D90%)*100</f>
        <v>113.01366759451138</v>
      </c>
      <c r="E89" s="233">
        <f>E88/(D88*E90%)*100</f>
        <v>101.72469466523964</v>
      </c>
      <c r="F89" s="233">
        <f>F88/(E88*F90%)*100</f>
        <v>97.927875933200525</v>
      </c>
      <c r="G89" s="233">
        <f>G88/(E88*G90%)*100</f>
        <v>101.83907221773123</v>
      </c>
      <c r="H89" s="233">
        <f>H88/(F88*H90%)*100</f>
        <v>102.04914895245874</v>
      </c>
      <c r="I89" s="233">
        <f>I88/(G88*I90%)*100</f>
        <v>102.04802447728585</v>
      </c>
      <c r="J89" s="233">
        <f>J88/(H88*J90%)*100</f>
        <v>102.14714358600617</v>
      </c>
      <c r="K89" s="233">
        <f>K88/(I88*K90%)*100</f>
        <v>102.14746120367741</v>
      </c>
      <c r="L89" s="17"/>
      <c r="M89" s="17"/>
      <c r="N89" s="17"/>
      <c r="O89" s="17"/>
      <c r="P89" s="17"/>
      <c r="Q89" s="17"/>
      <c r="R89" s="17"/>
      <c r="S89" s="17"/>
    </row>
    <row r="90" spans="1:19" s="16" customFormat="1" x14ac:dyDescent="0.2">
      <c r="A90" s="40" t="s">
        <v>13</v>
      </c>
      <c r="B90" s="243" t="s">
        <v>42</v>
      </c>
      <c r="C90" s="47"/>
      <c r="D90" s="233">
        <f>'Дефлятор базовый'!$B$76</f>
        <v>110.60609098051319</v>
      </c>
      <c r="E90" s="233">
        <f>'Дефлятор базовый'!$C$76</f>
        <v>104.39780375544059</v>
      </c>
      <c r="F90" s="233">
        <v>104.5</v>
      </c>
      <c r="G90" s="233">
        <f>'Дефлятор базовый'!$D$76</f>
        <v>104.30739265450333</v>
      </c>
      <c r="H90" s="233">
        <v>104.3</v>
      </c>
      <c r="I90" s="233">
        <f>'Дефлятор базовый'!$E$76</f>
        <v>104.09521082963305</v>
      </c>
      <c r="J90" s="233">
        <v>104.2</v>
      </c>
      <c r="K90" s="233">
        <f>'Дефлятор базовый'!$F$76</f>
        <v>103.97409323757189</v>
      </c>
      <c r="L90" s="15"/>
      <c r="M90" s="15"/>
      <c r="N90" s="15"/>
      <c r="O90" s="15"/>
      <c r="P90" s="15"/>
      <c r="Q90" s="15"/>
      <c r="R90" s="15"/>
      <c r="S90" s="15"/>
    </row>
    <row r="91" spans="1:19" x14ac:dyDescent="0.2">
      <c r="A91" s="49" t="s">
        <v>28</v>
      </c>
      <c r="B91" s="46"/>
      <c r="C91" s="47"/>
      <c r="D91" s="44"/>
      <c r="E91" s="44"/>
      <c r="F91" s="44"/>
      <c r="G91" s="44"/>
      <c r="H91" s="44"/>
      <c r="I91" s="44"/>
      <c r="J91" s="44"/>
      <c r="K91" s="44"/>
    </row>
    <row r="92" spans="1:19" s="294" customFormat="1" x14ac:dyDescent="0.2">
      <c r="A92" s="299" t="s">
        <v>49</v>
      </c>
      <c r="B92" s="243" t="s">
        <v>40</v>
      </c>
      <c r="C92" s="234">
        <f t="shared" ref="C92:K92" si="2">C96+C99</f>
        <v>3065.6</v>
      </c>
      <c r="D92" s="234">
        <f t="shared" si="2"/>
        <v>3453</v>
      </c>
      <c r="E92" s="234">
        <f t="shared" si="2"/>
        <v>3572</v>
      </c>
      <c r="F92" s="234">
        <f t="shared" si="2"/>
        <v>3657.6800000000003</v>
      </c>
      <c r="G92" s="234">
        <f t="shared" si="2"/>
        <v>3777.6800000000003</v>
      </c>
      <c r="H92" s="234">
        <f t="shared" si="2"/>
        <v>3888.9736000000003</v>
      </c>
      <c r="I92" s="234">
        <f t="shared" si="2"/>
        <v>4023.9736000000003</v>
      </c>
      <c r="J92" s="234">
        <f t="shared" si="2"/>
        <v>4136.6005520000008</v>
      </c>
      <c r="K92" s="234">
        <f t="shared" si="2"/>
        <v>4286.6005520000008</v>
      </c>
      <c r="L92" s="293"/>
      <c r="M92" s="293"/>
      <c r="N92" s="293"/>
      <c r="O92" s="293"/>
      <c r="P92" s="293"/>
      <c r="Q92" s="293"/>
      <c r="R92" s="293"/>
      <c r="S92" s="293"/>
    </row>
    <row r="93" spans="1:19" s="294" customFormat="1" x14ac:dyDescent="0.2">
      <c r="A93" s="296" t="s">
        <v>16</v>
      </c>
      <c r="B93" s="243" t="s">
        <v>42</v>
      </c>
      <c r="C93" s="234"/>
      <c r="D93" s="234">
        <f>D92/(C92*D94%)*100</f>
        <v>104.01997793827162</v>
      </c>
      <c r="E93" s="234">
        <f>E92/(D92*E94%)*100</f>
        <v>96.160391520531121</v>
      </c>
      <c r="F93" s="234">
        <f>F92/(E92*F94%)*100</f>
        <v>97.283965699520323</v>
      </c>
      <c r="G93" s="233">
        <f>G92/(E92*G94%)*100</f>
        <v>100.84901756796111</v>
      </c>
      <c r="H93" s="233">
        <f>H92/(F92*H94%)*100</f>
        <v>101.71518175607277</v>
      </c>
      <c r="I93" s="233">
        <f>I92/(G92*I94%)*100</f>
        <v>101.95736201355852</v>
      </c>
      <c r="J93" s="233">
        <f>J92/(H92*J94%)*100</f>
        <v>102.04405883152154</v>
      </c>
      <c r="K93" s="233">
        <f>K92/(I92*K94%)*100</f>
        <v>102.20798176687951</v>
      </c>
      <c r="L93" s="293"/>
      <c r="M93" s="293"/>
      <c r="N93" s="293"/>
      <c r="O93" s="293"/>
      <c r="P93" s="293"/>
      <c r="Q93" s="293"/>
      <c r="R93" s="293"/>
      <c r="S93" s="293"/>
    </row>
    <row r="94" spans="1:19" s="294" customFormat="1" x14ac:dyDescent="0.2">
      <c r="A94" s="296" t="s">
        <v>13</v>
      </c>
      <c r="B94" s="243" t="s">
        <v>42</v>
      </c>
      <c r="C94" s="234"/>
      <c r="D94" s="234">
        <f>'Дефлятор базовый'!B79</f>
        <v>108.28401082934982</v>
      </c>
      <c r="E94" s="233">
        <f>'Дефлятор базовый'!C79</f>
        <v>107.57680679392156</v>
      </c>
      <c r="F94" s="233">
        <f>'Дефлятор консервативный'!E21</f>
        <v>105.25748562849807</v>
      </c>
      <c r="G94" s="233">
        <f>'Дефлятор базовый'!D79</f>
        <v>104.8677728860755</v>
      </c>
      <c r="H94" s="233">
        <f>'Дефлятор консервативный'!F21</f>
        <v>104.53061556247536</v>
      </c>
      <c r="I94" s="233">
        <f>'Дефлятор базовый'!E79</f>
        <v>104.47475602765644</v>
      </c>
      <c r="J94" s="233">
        <f>'Дефлятор консервативный'!G21</f>
        <v>104.23675097977753</v>
      </c>
      <c r="K94" s="233">
        <f>'Дефлятор базовый'!F79</f>
        <v>104.22528230042698</v>
      </c>
      <c r="L94" s="293"/>
      <c r="M94" s="293"/>
      <c r="N94" s="293"/>
      <c r="O94" s="293"/>
      <c r="P94" s="293"/>
      <c r="Q94" s="293"/>
      <c r="R94" s="293"/>
      <c r="S94" s="293"/>
    </row>
    <row r="95" spans="1:19" s="294" customFormat="1" x14ac:dyDescent="0.2">
      <c r="A95" s="297" t="s">
        <v>5</v>
      </c>
      <c r="B95" s="300"/>
      <c r="C95" s="234"/>
      <c r="D95" s="234"/>
      <c r="E95" s="295"/>
      <c r="F95" s="295"/>
      <c r="G95" s="295"/>
      <c r="H95" s="295"/>
      <c r="I95" s="295"/>
      <c r="J95" s="295"/>
      <c r="K95" s="295"/>
      <c r="L95" s="293"/>
      <c r="M95" s="293"/>
      <c r="N95" s="293"/>
      <c r="O95" s="293"/>
      <c r="P95" s="293"/>
      <c r="Q95" s="293"/>
      <c r="R95" s="293"/>
      <c r="S95" s="293"/>
    </row>
    <row r="96" spans="1:19" s="294" customFormat="1" x14ac:dyDescent="0.2">
      <c r="A96" s="299" t="s">
        <v>65</v>
      </c>
      <c r="B96" s="243" t="s">
        <v>40</v>
      </c>
      <c r="C96" s="234">
        <v>768.6</v>
      </c>
      <c r="D96" s="234">
        <v>838.3</v>
      </c>
      <c r="E96" s="233">
        <v>864</v>
      </c>
      <c r="F96" s="233">
        <f>G96-20</f>
        <v>887.2</v>
      </c>
      <c r="G96" s="233">
        <f>E96*105%</f>
        <v>907.2</v>
      </c>
      <c r="H96" s="233">
        <f>I96-25</f>
        <v>927.56000000000006</v>
      </c>
      <c r="I96" s="233">
        <f>G96*105%</f>
        <v>952.56000000000006</v>
      </c>
      <c r="J96" s="233">
        <f>K96-30</f>
        <v>970.1880000000001</v>
      </c>
      <c r="K96" s="233">
        <f>I96*105%</f>
        <v>1000.1880000000001</v>
      </c>
      <c r="L96" s="293"/>
      <c r="M96" s="293"/>
      <c r="N96" s="293"/>
      <c r="O96" s="293"/>
      <c r="P96" s="293"/>
      <c r="Q96" s="293"/>
      <c r="R96" s="293"/>
      <c r="S96" s="293"/>
    </row>
    <row r="97" spans="1:19" s="294" customFormat="1" x14ac:dyDescent="0.2">
      <c r="A97" s="301" t="s">
        <v>66</v>
      </c>
      <c r="B97" s="243" t="s">
        <v>42</v>
      </c>
      <c r="C97" s="234"/>
      <c r="D97" s="234">
        <f>D96/(C96*D98%)*100</f>
        <v>102.02881710690299</v>
      </c>
      <c r="E97" s="234">
        <f>E96/(D96*E98%)*100</f>
        <v>96.251693247053538</v>
      </c>
      <c r="F97" s="234">
        <f>F96/(E96*F98%)*100</f>
        <v>97.795414462081126</v>
      </c>
      <c r="G97" s="233">
        <f>G96/(E96*G98%)*100</f>
        <v>100.3612260269076</v>
      </c>
      <c r="H97" s="233">
        <f>H96/(F96*H98%)*100</f>
        <v>100.33507041497846</v>
      </c>
      <c r="I97" s="233">
        <f>I96/(G96*I98%)*100</f>
        <v>100.72448131939822</v>
      </c>
      <c r="J97" s="233">
        <f>J96/(H96*J98%)*100</f>
        <v>100.57280142773266</v>
      </c>
      <c r="K97" s="233">
        <f>K96/(I96*K98%)*100</f>
        <v>100.9974532747401</v>
      </c>
      <c r="L97" s="293"/>
      <c r="M97" s="293"/>
      <c r="N97" s="293"/>
      <c r="O97" s="293"/>
      <c r="P97" s="293"/>
      <c r="Q97" s="293"/>
      <c r="R97" s="293"/>
      <c r="S97" s="293"/>
    </row>
    <row r="98" spans="1:19" s="294" customFormat="1" x14ac:dyDescent="0.2">
      <c r="A98" s="301" t="s">
        <v>67</v>
      </c>
      <c r="B98" s="243" t="s">
        <v>42</v>
      </c>
      <c r="C98" s="298"/>
      <c r="D98" s="233">
        <f>'Дефлятор базовый'!B81</f>
        <v>106.89963797515904</v>
      </c>
      <c r="E98" s="233">
        <f>'Дефлятор базовый'!C81</f>
        <v>107.07939235419946</v>
      </c>
      <c r="F98" s="233">
        <v>105</v>
      </c>
      <c r="G98" s="233">
        <f>'Дефлятор базовый'!D81</f>
        <v>104.62207782500457</v>
      </c>
      <c r="H98" s="233">
        <v>104.2</v>
      </c>
      <c r="I98" s="233">
        <f>'Дефлятор базовый'!E81</f>
        <v>104.24476614284472</v>
      </c>
      <c r="J98" s="233">
        <v>104</v>
      </c>
      <c r="K98" s="233">
        <f>'Дефлятор базовый'!F81</f>
        <v>103.96301747765055</v>
      </c>
      <c r="L98" s="293"/>
      <c r="M98" s="293"/>
      <c r="N98" s="293"/>
      <c r="O98" s="293"/>
      <c r="P98" s="293"/>
      <c r="Q98" s="293"/>
      <c r="R98" s="293"/>
      <c r="S98" s="293"/>
    </row>
    <row r="99" spans="1:19" s="294" customFormat="1" x14ac:dyDescent="0.2">
      <c r="A99" s="299" t="s">
        <v>68</v>
      </c>
      <c r="B99" s="243" t="s">
        <v>40</v>
      </c>
      <c r="C99" s="234">
        <v>2297</v>
      </c>
      <c r="D99" s="234">
        <v>2614.6999999999998</v>
      </c>
      <c r="E99" s="233">
        <v>2708</v>
      </c>
      <c r="F99" s="233">
        <f>G99-100</f>
        <v>2770.48</v>
      </c>
      <c r="G99" s="233">
        <f>E99*106%</f>
        <v>2870.48</v>
      </c>
      <c r="H99" s="233">
        <f>I99-110</f>
        <v>2961.4136000000003</v>
      </c>
      <c r="I99" s="233">
        <f>G99*107%</f>
        <v>3071.4136000000003</v>
      </c>
      <c r="J99" s="233">
        <f>K99-120</f>
        <v>3166.4125520000007</v>
      </c>
      <c r="K99" s="233">
        <f>I99*107%</f>
        <v>3286.4125520000007</v>
      </c>
      <c r="L99" s="293"/>
      <c r="M99" s="293"/>
      <c r="N99" s="293"/>
      <c r="O99" s="293"/>
      <c r="P99" s="293"/>
      <c r="Q99" s="293"/>
      <c r="R99" s="293"/>
      <c r="S99" s="293"/>
    </row>
    <row r="100" spans="1:19" s="294" customFormat="1" x14ac:dyDescent="0.2">
      <c r="A100" s="301" t="s">
        <v>69</v>
      </c>
      <c r="B100" s="243" t="s">
        <v>42</v>
      </c>
      <c r="C100" s="298"/>
      <c r="D100" s="234">
        <f>D99/(C99*D101%)*100</f>
        <v>103.58845141615274</v>
      </c>
      <c r="E100" s="234">
        <f>E99/(D99*E101%)*100</f>
        <v>95.710564750129151</v>
      </c>
      <c r="F100" s="234">
        <f>F99/(E99*F101%)*100</f>
        <v>96.881853990421192</v>
      </c>
      <c r="G100" s="233">
        <f>G99/(E99*G101%)*100</f>
        <v>100.77916010888957</v>
      </c>
      <c r="H100" s="233">
        <f>H99/(F99*H101%)*100</f>
        <v>101.99591175095517</v>
      </c>
      <c r="I100" s="233">
        <f>I99/(G99*I101%)*100</f>
        <v>102.13093774661513</v>
      </c>
      <c r="J100" s="233">
        <f>J99/(H99*J101%)*100</f>
        <v>102.22020495972733</v>
      </c>
      <c r="K100" s="233">
        <f>K99/(I99*K101%)*100</f>
        <v>102.33449476555734</v>
      </c>
      <c r="L100" s="293"/>
      <c r="M100" s="293"/>
      <c r="N100" s="293"/>
      <c r="O100" s="293"/>
      <c r="P100" s="293"/>
      <c r="Q100" s="293"/>
      <c r="R100" s="293"/>
      <c r="S100" s="293"/>
    </row>
    <row r="101" spans="1:19" s="294" customFormat="1" x14ac:dyDescent="0.2">
      <c r="A101" s="301" t="s">
        <v>70</v>
      </c>
      <c r="B101" s="243" t="s">
        <v>42</v>
      </c>
      <c r="C101" s="298"/>
      <c r="D101" s="233">
        <f>'Дефлятор базовый'!B83</f>
        <v>109.88781323251668</v>
      </c>
      <c r="E101" s="233">
        <f>'Дефлятор базовый'!C83</f>
        <v>108.20987971720425</v>
      </c>
      <c r="F101" s="233">
        <v>105.6</v>
      </c>
      <c r="G101" s="233">
        <f>'Дефлятор базовый'!D83</f>
        <v>105.18047569107488</v>
      </c>
      <c r="H101" s="233">
        <v>104.8</v>
      </c>
      <c r="I101" s="233">
        <f>'Дефлятор базовый'!E83</f>
        <v>104.76747042650771</v>
      </c>
      <c r="J101" s="233">
        <v>104.6</v>
      </c>
      <c r="K101" s="233">
        <f>'Дефлятор базовый'!F83</f>
        <v>104.5590738930515</v>
      </c>
      <c r="L101" s="293"/>
      <c r="M101" s="293"/>
      <c r="N101" s="293"/>
      <c r="O101" s="293"/>
      <c r="P101" s="293"/>
      <c r="Q101" s="293"/>
      <c r="R101" s="293"/>
      <c r="S101" s="293"/>
    </row>
    <row r="102" spans="1:19" ht="24" x14ac:dyDescent="0.2">
      <c r="A102" s="49" t="s">
        <v>29</v>
      </c>
      <c r="B102" s="42"/>
      <c r="C102" s="43"/>
      <c r="D102" s="44"/>
      <c r="E102" s="44"/>
      <c r="F102" s="44"/>
      <c r="G102" s="44"/>
      <c r="H102" s="44"/>
      <c r="I102" s="44"/>
      <c r="J102" s="44"/>
      <c r="K102" s="44"/>
    </row>
    <row r="103" spans="1:19" x14ac:dyDescent="0.2">
      <c r="A103" s="50" t="s">
        <v>63</v>
      </c>
      <c r="B103" s="42"/>
      <c r="C103" s="43"/>
      <c r="D103" s="44"/>
      <c r="E103" s="44"/>
      <c r="F103" s="44"/>
      <c r="G103" s="44"/>
      <c r="H103" s="44"/>
      <c r="I103" s="44"/>
      <c r="J103" s="44"/>
      <c r="K103" s="44"/>
    </row>
    <row r="104" spans="1:19" s="294" customFormat="1" ht="14.25" customHeight="1" x14ac:dyDescent="0.2">
      <c r="A104" s="299" t="s">
        <v>144</v>
      </c>
      <c r="B104" s="268" t="s">
        <v>10</v>
      </c>
      <c r="C104" s="234">
        <v>353</v>
      </c>
      <c r="D104" s="234">
        <v>383</v>
      </c>
      <c r="E104" s="234">
        <v>0</v>
      </c>
      <c r="F104" s="234">
        <v>350</v>
      </c>
      <c r="G104" s="234">
        <v>400</v>
      </c>
      <c r="H104" s="234">
        <v>350</v>
      </c>
      <c r="I104" s="234">
        <v>400</v>
      </c>
      <c r="J104" s="234">
        <v>350</v>
      </c>
      <c r="K104" s="234">
        <v>400</v>
      </c>
      <c r="L104" s="293"/>
      <c r="M104" s="293"/>
      <c r="N104" s="293"/>
      <c r="O104" s="293"/>
      <c r="P104" s="293"/>
      <c r="Q104" s="293"/>
      <c r="R104" s="293"/>
      <c r="S104" s="293"/>
    </row>
    <row r="105" spans="1:19" ht="14.25" customHeight="1" x14ac:dyDescent="0.2">
      <c r="A105" s="37" t="s">
        <v>136</v>
      </c>
      <c r="B105" s="42" t="s">
        <v>30</v>
      </c>
      <c r="C105" s="234">
        <v>5.9089999999999998</v>
      </c>
      <c r="D105" s="234">
        <v>5.33</v>
      </c>
      <c r="E105" s="234">
        <v>5.5</v>
      </c>
      <c r="F105" s="234">
        <v>5.5</v>
      </c>
      <c r="G105" s="234">
        <v>6</v>
      </c>
      <c r="H105" s="234">
        <f>I105-0.5</f>
        <v>5.7</v>
      </c>
      <c r="I105" s="234">
        <v>6.2</v>
      </c>
      <c r="J105" s="234">
        <f>K105-0.5</f>
        <v>6</v>
      </c>
      <c r="K105" s="234">
        <v>6.5</v>
      </c>
    </row>
    <row r="106" spans="1:19" ht="13.5" customHeight="1" x14ac:dyDescent="0.2">
      <c r="A106" s="37" t="s">
        <v>137</v>
      </c>
      <c r="B106" s="42" t="s">
        <v>10</v>
      </c>
      <c r="C106" s="234">
        <v>1189</v>
      </c>
      <c r="D106" s="234">
        <v>1111.3</v>
      </c>
      <c r="E106" s="234">
        <v>1100</v>
      </c>
      <c r="F106" s="234">
        <f>G106-50</f>
        <v>1150</v>
      </c>
      <c r="G106" s="234">
        <v>1200</v>
      </c>
      <c r="H106" s="234">
        <v>1200</v>
      </c>
      <c r="I106" s="234">
        <v>1250</v>
      </c>
      <c r="J106" s="234">
        <v>1250</v>
      </c>
      <c r="K106" s="234">
        <v>1300</v>
      </c>
    </row>
    <row r="107" spans="1:19" ht="12.75" customHeight="1" x14ac:dyDescent="0.2">
      <c r="A107" s="37" t="s">
        <v>85</v>
      </c>
      <c r="B107" s="42" t="s">
        <v>10</v>
      </c>
      <c r="C107" s="234">
        <v>1951</v>
      </c>
      <c r="D107" s="234">
        <v>2059.1</v>
      </c>
      <c r="E107" s="234">
        <v>2070</v>
      </c>
      <c r="F107" s="234">
        <f>G107-50</f>
        <v>2068</v>
      </c>
      <c r="G107" s="234">
        <v>2118</v>
      </c>
      <c r="H107" s="234">
        <f>I107-50</f>
        <v>2120</v>
      </c>
      <c r="I107" s="234">
        <v>2170</v>
      </c>
      <c r="J107" s="234">
        <f>K107-50</f>
        <v>2174.25</v>
      </c>
      <c r="K107" s="234">
        <f>I107*102.5%</f>
        <v>2224.25</v>
      </c>
    </row>
    <row r="108" spans="1:19" ht="13.5" customHeight="1" x14ac:dyDescent="0.2">
      <c r="A108" s="37" t="s">
        <v>86</v>
      </c>
      <c r="B108" s="42" t="s">
        <v>10</v>
      </c>
      <c r="C108" s="234">
        <v>54758</v>
      </c>
      <c r="D108" s="234">
        <v>56219</v>
      </c>
      <c r="E108" s="234">
        <v>57325</v>
      </c>
      <c r="F108" s="234">
        <f>G108-500</f>
        <v>59691.25</v>
      </c>
      <c r="G108" s="234">
        <f>E108*105%</f>
        <v>60191.25</v>
      </c>
      <c r="H108" s="234">
        <f>I108-500</f>
        <v>62700.8125</v>
      </c>
      <c r="I108" s="234">
        <f>G108*105%</f>
        <v>63200.8125</v>
      </c>
      <c r="J108" s="234">
        <f>K108-500</f>
        <v>65860.853125000009</v>
      </c>
      <c r="K108" s="234">
        <f>I108*105%</f>
        <v>66360.853125000009</v>
      </c>
    </row>
    <row r="109" spans="1:19" ht="13.5" customHeight="1" x14ac:dyDescent="0.2">
      <c r="A109" s="37" t="s">
        <v>87</v>
      </c>
      <c r="B109" s="42" t="s">
        <v>11</v>
      </c>
      <c r="C109" s="244">
        <v>881</v>
      </c>
      <c r="D109" s="244">
        <v>800</v>
      </c>
      <c r="E109" s="244">
        <v>800</v>
      </c>
      <c r="F109" s="244">
        <v>750</v>
      </c>
      <c r="G109" s="244">
        <v>800</v>
      </c>
      <c r="H109" s="244">
        <v>800</v>
      </c>
      <c r="I109" s="244">
        <v>850</v>
      </c>
      <c r="J109" s="244">
        <v>850</v>
      </c>
      <c r="K109" s="244">
        <v>900</v>
      </c>
    </row>
    <row r="110" spans="1:19" ht="15.75" customHeight="1" x14ac:dyDescent="0.2">
      <c r="A110" s="50" t="s">
        <v>64</v>
      </c>
      <c r="B110" s="42"/>
      <c r="C110" s="62"/>
      <c r="D110" s="234"/>
      <c r="E110" s="234"/>
      <c r="F110" s="234"/>
      <c r="G110" s="234"/>
      <c r="H110" s="234"/>
      <c r="I110" s="234"/>
      <c r="J110" s="234"/>
      <c r="K110" s="234"/>
    </row>
    <row r="111" spans="1:19" s="365" customFormat="1" ht="47.25" customHeight="1" x14ac:dyDescent="0.2">
      <c r="A111" s="368" t="s">
        <v>139</v>
      </c>
      <c r="B111" s="367" t="s">
        <v>10</v>
      </c>
      <c r="C111" s="369">
        <v>189</v>
      </c>
      <c r="D111" s="369">
        <v>199</v>
      </c>
      <c r="E111" s="369">
        <v>200</v>
      </c>
      <c r="F111" s="369">
        <v>200</v>
      </c>
      <c r="G111" s="369">
        <v>210</v>
      </c>
      <c r="H111" s="369">
        <v>210</v>
      </c>
      <c r="I111" s="369">
        <v>220</v>
      </c>
      <c r="J111" s="369">
        <v>220</v>
      </c>
      <c r="K111" s="369">
        <v>230</v>
      </c>
      <c r="L111" s="364"/>
      <c r="M111" s="364"/>
      <c r="N111" s="364"/>
      <c r="O111" s="364"/>
      <c r="P111" s="364"/>
      <c r="Q111" s="364"/>
      <c r="R111" s="364"/>
      <c r="S111" s="364"/>
    </row>
    <row r="112" spans="1:19" s="16" customFormat="1" ht="15.75" customHeight="1" x14ac:dyDescent="0.2">
      <c r="A112" s="37" t="s">
        <v>88</v>
      </c>
      <c r="B112" s="42" t="s">
        <v>10</v>
      </c>
      <c r="C112" s="234" t="s">
        <v>277</v>
      </c>
      <c r="D112" s="234" t="s">
        <v>277</v>
      </c>
      <c r="E112" s="234" t="s">
        <v>277</v>
      </c>
      <c r="F112" s="234" t="s">
        <v>277</v>
      </c>
      <c r="G112" s="234" t="s">
        <v>277</v>
      </c>
      <c r="H112" s="234" t="s">
        <v>277</v>
      </c>
      <c r="I112" s="234" t="s">
        <v>277</v>
      </c>
      <c r="J112" s="234" t="s">
        <v>277</v>
      </c>
      <c r="K112" s="234" t="s">
        <v>277</v>
      </c>
      <c r="L112" s="15"/>
      <c r="M112" s="15"/>
      <c r="N112" s="15"/>
      <c r="O112" s="15"/>
      <c r="P112" s="15"/>
      <c r="Q112" s="15"/>
      <c r="R112" s="15"/>
      <c r="S112" s="15"/>
    </row>
    <row r="113" spans="1:19" x14ac:dyDescent="0.2">
      <c r="A113" s="37" t="s">
        <v>135</v>
      </c>
      <c r="B113" s="42" t="s">
        <v>10</v>
      </c>
      <c r="C113" s="234">
        <v>1295.7</v>
      </c>
      <c r="D113" s="234">
        <v>5395</v>
      </c>
      <c r="E113" s="234">
        <v>5665</v>
      </c>
      <c r="F113" s="234">
        <f>G113-200</f>
        <v>5750</v>
      </c>
      <c r="G113" s="234">
        <v>5950</v>
      </c>
      <c r="H113" s="234">
        <f>I113-200</f>
        <v>6050</v>
      </c>
      <c r="I113" s="234">
        <v>6250</v>
      </c>
      <c r="J113" s="234">
        <f>K113-200</f>
        <v>6360</v>
      </c>
      <c r="K113" s="234">
        <v>6560</v>
      </c>
    </row>
    <row r="114" spans="1:19" x14ac:dyDescent="0.2">
      <c r="A114" s="37" t="s">
        <v>120</v>
      </c>
      <c r="B114" s="57" t="s">
        <v>10</v>
      </c>
      <c r="C114" s="234" t="s">
        <v>277</v>
      </c>
      <c r="D114" s="234">
        <v>608</v>
      </c>
      <c r="E114" s="234">
        <v>640</v>
      </c>
      <c r="F114" s="234">
        <f>G114-30</f>
        <v>640</v>
      </c>
      <c r="G114" s="234">
        <v>670</v>
      </c>
      <c r="H114" s="234">
        <f>I114-30</f>
        <v>674</v>
      </c>
      <c r="I114" s="234">
        <v>704</v>
      </c>
      <c r="J114" s="234">
        <f>K114-30</f>
        <v>710</v>
      </c>
      <c r="K114" s="234">
        <v>740</v>
      </c>
    </row>
    <row r="115" spans="1:19" ht="24" x14ac:dyDescent="0.2">
      <c r="A115" s="37" t="s">
        <v>140</v>
      </c>
      <c r="B115" s="42" t="s">
        <v>10</v>
      </c>
      <c r="C115" s="234">
        <v>80.5</v>
      </c>
      <c r="D115" s="234">
        <v>333</v>
      </c>
      <c r="E115" s="234">
        <v>350</v>
      </c>
      <c r="F115" s="234">
        <f>G115-10</f>
        <v>360</v>
      </c>
      <c r="G115" s="234">
        <v>370</v>
      </c>
      <c r="H115" s="234">
        <f>I115-10</f>
        <v>381</v>
      </c>
      <c r="I115" s="234">
        <v>391</v>
      </c>
      <c r="J115" s="234">
        <f>K115-10</f>
        <v>403</v>
      </c>
      <c r="K115" s="234">
        <v>413</v>
      </c>
    </row>
    <row r="116" spans="1:19" x14ac:dyDescent="0.2">
      <c r="A116" s="37" t="s">
        <v>77</v>
      </c>
      <c r="B116" s="42" t="s">
        <v>10</v>
      </c>
      <c r="C116" s="234">
        <v>257.5</v>
      </c>
      <c r="D116" s="234">
        <f>C116*102%</f>
        <v>262.64999999999998</v>
      </c>
      <c r="E116" s="234">
        <f>D116*102%</f>
        <v>267.90299999999996</v>
      </c>
      <c r="F116" s="234">
        <f>G116-10</f>
        <v>257.90299999999996</v>
      </c>
      <c r="G116" s="234">
        <f>D116*102%</f>
        <v>267.90299999999996</v>
      </c>
      <c r="H116" s="234">
        <f>I116-10</f>
        <v>263.26105999999999</v>
      </c>
      <c r="I116" s="234">
        <f>G116*102%</f>
        <v>273.26105999999999</v>
      </c>
      <c r="J116" s="234">
        <f>K116-10</f>
        <v>268.72628120000002</v>
      </c>
      <c r="K116" s="234">
        <f>I116*102%</f>
        <v>278.72628120000002</v>
      </c>
    </row>
    <row r="117" spans="1:19" x14ac:dyDescent="0.2">
      <c r="A117" s="37" t="s">
        <v>121</v>
      </c>
      <c r="B117" s="42" t="s">
        <v>10</v>
      </c>
      <c r="C117" s="234">
        <v>2512.9</v>
      </c>
      <c r="D117" s="234">
        <f>C117*98%</f>
        <v>2462.6419999999998</v>
      </c>
      <c r="E117" s="234">
        <f>D117*101%</f>
        <v>2487.2684199999999</v>
      </c>
      <c r="F117" s="234">
        <f>G117-15</f>
        <v>2497.1411042</v>
      </c>
      <c r="G117" s="234">
        <f>E117*101%</f>
        <v>2512.1411042</v>
      </c>
      <c r="H117" s="234">
        <f>I117-15</f>
        <v>2522.2625152420001</v>
      </c>
      <c r="I117" s="234">
        <f>G117*101%</f>
        <v>2537.2625152420001</v>
      </c>
      <c r="J117" s="234">
        <f>K117-15</f>
        <v>2547.63514039442</v>
      </c>
      <c r="K117" s="234">
        <f>I117*101%</f>
        <v>2562.63514039442</v>
      </c>
    </row>
    <row r="118" spans="1:19" s="11" customFormat="1" x14ac:dyDescent="0.2">
      <c r="A118" s="37" t="s">
        <v>122</v>
      </c>
      <c r="B118" s="42" t="s">
        <v>10</v>
      </c>
      <c r="C118" s="234">
        <v>32</v>
      </c>
      <c r="D118" s="234">
        <v>28.2</v>
      </c>
      <c r="E118" s="234">
        <v>30</v>
      </c>
      <c r="F118" s="234">
        <f>G118-2</f>
        <v>28</v>
      </c>
      <c r="G118" s="234">
        <v>30</v>
      </c>
      <c r="H118" s="234">
        <f>I118-2</f>
        <v>28</v>
      </c>
      <c r="I118" s="234">
        <v>30</v>
      </c>
      <c r="J118" s="234">
        <f>K118-2</f>
        <v>28</v>
      </c>
      <c r="K118" s="234">
        <v>30</v>
      </c>
      <c r="L118" s="264"/>
      <c r="M118" s="10"/>
      <c r="N118" s="10"/>
      <c r="O118" s="10"/>
      <c r="P118" s="10"/>
      <c r="Q118" s="10"/>
      <c r="R118" s="10"/>
      <c r="S118" s="10"/>
    </row>
    <row r="119" spans="1:19" s="2" customFormat="1" hidden="1" x14ac:dyDescent="0.2">
      <c r="A119" s="37" t="s">
        <v>141</v>
      </c>
      <c r="B119" s="42" t="s">
        <v>4</v>
      </c>
      <c r="C119" s="234"/>
      <c r="D119" s="234"/>
      <c r="E119" s="234"/>
      <c r="F119" s="234"/>
      <c r="G119" s="234"/>
      <c r="H119" s="234"/>
      <c r="I119" s="234"/>
      <c r="J119" s="234"/>
      <c r="K119" s="234"/>
      <c r="L119" s="264"/>
      <c r="M119" s="4"/>
      <c r="N119" s="4"/>
      <c r="O119" s="4"/>
      <c r="P119" s="4"/>
      <c r="Q119" s="4"/>
      <c r="R119" s="4"/>
      <c r="S119" s="4"/>
    </row>
    <row r="120" spans="1:19" s="2" customFormat="1" hidden="1" x14ac:dyDescent="0.2">
      <c r="A120" s="37" t="s">
        <v>71</v>
      </c>
      <c r="B120" s="46" t="s">
        <v>17</v>
      </c>
      <c r="C120" s="234"/>
      <c r="D120" s="234"/>
      <c r="E120" s="234"/>
      <c r="F120" s="234"/>
      <c r="G120" s="234"/>
      <c r="H120" s="234"/>
      <c r="I120" s="234"/>
      <c r="J120" s="234"/>
      <c r="K120" s="234"/>
      <c r="L120" s="264"/>
      <c r="M120" s="4"/>
      <c r="N120" s="4"/>
      <c r="O120" s="4"/>
      <c r="P120" s="4"/>
      <c r="Q120" s="4"/>
      <c r="R120" s="4"/>
      <c r="S120" s="4"/>
    </row>
    <row r="121" spans="1:19" s="2" customFormat="1" ht="24" hidden="1" x14ac:dyDescent="0.2">
      <c r="A121" s="37" t="s">
        <v>83</v>
      </c>
      <c r="B121" s="46" t="s">
        <v>17</v>
      </c>
      <c r="C121" s="234"/>
      <c r="D121" s="234"/>
      <c r="E121" s="234"/>
      <c r="F121" s="234"/>
      <c r="G121" s="234"/>
      <c r="H121" s="234"/>
      <c r="I121" s="234"/>
      <c r="J121" s="234"/>
      <c r="K121" s="234"/>
      <c r="L121" s="264"/>
      <c r="M121" s="4"/>
      <c r="N121" s="4"/>
      <c r="O121" s="4"/>
      <c r="P121" s="4"/>
      <c r="Q121" s="4"/>
      <c r="R121" s="4"/>
      <c r="S121" s="4"/>
    </row>
    <row r="122" spans="1:19" s="2" customFormat="1" ht="48.75" hidden="1" customHeight="1" x14ac:dyDescent="0.2">
      <c r="A122" s="37" t="s">
        <v>84</v>
      </c>
      <c r="B122" s="46" t="s">
        <v>17</v>
      </c>
      <c r="C122" s="234"/>
      <c r="D122" s="234"/>
      <c r="E122" s="234"/>
      <c r="F122" s="234"/>
      <c r="G122" s="234"/>
      <c r="H122" s="234"/>
      <c r="I122" s="234"/>
      <c r="J122" s="234"/>
      <c r="K122" s="234"/>
      <c r="L122" s="264"/>
      <c r="M122" s="4"/>
      <c r="N122" s="4"/>
      <c r="O122" s="4"/>
      <c r="P122" s="4"/>
      <c r="Q122" s="4"/>
      <c r="R122" s="4"/>
      <c r="S122" s="4"/>
    </row>
    <row r="123" spans="1:19" s="2" customFormat="1" hidden="1" x14ac:dyDescent="0.2">
      <c r="A123" s="37" t="s">
        <v>123</v>
      </c>
      <c r="B123" s="46" t="s">
        <v>17</v>
      </c>
      <c r="C123" s="234"/>
      <c r="D123" s="234"/>
      <c r="E123" s="234"/>
      <c r="F123" s="234"/>
      <c r="G123" s="234"/>
      <c r="H123" s="234"/>
      <c r="I123" s="234"/>
      <c r="J123" s="234"/>
      <c r="K123" s="234"/>
      <c r="L123" s="264"/>
      <c r="M123" s="4"/>
      <c r="N123" s="4"/>
      <c r="O123" s="4"/>
      <c r="P123" s="4"/>
      <c r="Q123" s="4"/>
      <c r="R123" s="4"/>
      <c r="S123" s="4"/>
    </row>
    <row r="124" spans="1:19" s="18" customFormat="1" x14ac:dyDescent="0.2">
      <c r="A124" s="45" t="s">
        <v>138</v>
      </c>
      <c r="B124" s="46" t="s">
        <v>51</v>
      </c>
      <c r="C124" s="234">
        <v>593.4</v>
      </c>
      <c r="D124" s="234">
        <v>654.79999999999995</v>
      </c>
      <c r="E124" s="234">
        <v>712</v>
      </c>
      <c r="F124" s="234">
        <f>E124*101%</f>
        <v>719.12</v>
      </c>
      <c r="G124" s="234">
        <f>E124*102%</f>
        <v>726.24</v>
      </c>
      <c r="H124" s="234">
        <f>F124*102%</f>
        <v>733.50239999999997</v>
      </c>
      <c r="I124" s="234">
        <v>744.4</v>
      </c>
      <c r="J124" s="234">
        <f>H124*102%</f>
        <v>748.17244800000003</v>
      </c>
      <c r="K124" s="234">
        <f>I124*102%</f>
        <v>759.28800000000001</v>
      </c>
      <c r="L124" s="264"/>
      <c r="M124" s="17"/>
      <c r="N124" s="17"/>
      <c r="O124" s="17"/>
      <c r="P124" s="17"/>
      <c r="Q124" s="17"/>
      <c r="R124" s="17"/>
      <c r="S124" s="17"/>
    </row>
    <row r="125" spans="1:19" s="18" customFormat="1" ht="46.5" customHeight="1" x14ac:dyDescent="0.2">
      <c r="A125" s="66" t="s">
        <v>142</v>
      </c>
      <c r="B125" s="51" t="s">
        <v>8</v>
      </c>
      <c r="C125" s="234">
        <v>249.5</v>
      </c>
      <c r="D125" s="234">
        <v>122.5</v>
      </c>
      <c r="E125" s="234">
        <v>13.968</v>
      </c>
      <c r="F125" s="234">
        <v>14</v>
      </c>
      <c r="G125" s="234">
        <v>15</v>
      </c>
      <c r="H125" s="234">
        <v>15</v>
      </c>
      <c r="I125" s="234">
        <v>16</v>
      </c>
      <c r="J125" s="234">
        <v>16</v>
      </c>
      <c r="K125" s="234">
        <v>17</v>
      </c>
      <c r="L125" s="264"/>
      <c r="M125" s="17"/>
      <c r="N125" s="17"/>
      <c r="O125" s="17"/>
      <c r="P125" s="17"/>
      <c r="Q125" s="17"/>
      <c r="R125" s="17"/>
      <c r="S125" s="17"/>
    </row>
    <row r="126" spans="1:19" s="18" customFormat="1" x14ac:dyDescent="0.2">
      <c r="A126" s="45" t="s">
        <v>124</v>
      </c>
      <c r="B126" s="51" t="s">
        <v>8</v>
      </c>
      <c r="C126" s="234">
        <v>271.10000000000002</v>
      </c>
      <c r="D126" s="234">
        <v>84.626999999999995</v>
      </c>
      <c r="E126" s="234">
        <v>313.32799999999997</v>
      </c>
      <c r="F126" s="234">
        <f>G126-10</f>
        <v>318.99439999999998</v>
      </c>
      <c r="G126" s="234">
        <f>E126*105%</f>
        <v>328.99439999999998</v>
      </c>
      <c r="H126" s="234">
        <f>I126-10</f>
        <v>335.44412</v>
      </c>
      <c r="I126" s="234">
        <f>G126*105%</f>
        <v>345.44412</v>
      </c>
      <c r="J126" s="234">
        <f>K126-10</f>
        <v>352.71632600000004</v>
      </c>
      <c r="K126" s="234">
        <f>I126*105%</f>
        <v>362.71632600000004</v>
      </c>
      <c r="L126" s="17"/>
      <c r="M126" s="17"/>
      <c r="N126" s="17"/>
      <c r="O126" s="17"/>
      <c r="P126" s="17"/>
      <c r="Q126" s="17"/>
      <c r="R126" s="17"/>
      <c r="S126" s="17"/>
    </row>
    <row r="127" spans="1:19" s="18" customFormat="1" x14ac:dyDescent="0.2">
      <c r="A127" s="45" t="s">
        <v>125</v>
      </c>
      <c r="B127" s="51" t="s">
        <v>8</v>
      </c>
      <c r="C127" s="234">
        <v>0.4</v>
      </c>
      <c r="D127" s="234">
        <v>1.4</v>
      </c>
      <c r="E127" s="234">
        <v>2.9</v>
      </c>
      <c r="F127" s="234">
        <f>G127-1</f>
        <v>2.9</v>
      </c>
      <c r="G127" s="234">
        <v>3.9</v>
      </c>
      <c r="H127" s="234">
        <f>I127-1</f>
        <v>3.5</v>
      </c>
      <c r="I127" s="234">
        <v>4.5</v>
      </c>
      <c r="J127" s="234">
        <f>K127-1</f>
        <v>3.5</v>
      </c>
      <c r="K127" s="234">
        <v>4.5</v>
      </c>
      <c r="L127" s="17"/>
      <c r="M127" s="17"/>
      <c r="N127" s="17"/>
      <c r="O127" s="17"/>
      <c r="P127" s="17"/>
      <c r="Q127" s="17"/>
      <c r="R127" s="17"/>
      <c r="S127" s="17"/>
    </row>
    <row r="128" spans="1:19" s="18" customFormat="1" x14ac:dyDescent="0.2">
      <c r="A128" s="45" t="s">
        <v>126</v>
      </c>
      <c r="B128" s="46" t="s">
        <v>51</v>
      </c>
      <c r="C128" s="234">
        <v>1.2</v>
      </c>
      <c r="D128" s="234">
        <v>0</v>
      </c>
      <c r="E128" s="234">
        <v>75</v>
      </c>
      <c r="F128" s="234">
        <f>G128-5</f>
        <v>73.8</v>
      </c>
      <c r="G128" s="234">
        <v>78.8</v>
      </c>
      <c r="H128" s="234">
        <f>I128-5</f>
        <v>77.7</v>
      </c>
      <c r="I128" s="234">
        <v>82.7</v>
      </c>
      <c r="J128" s="234">
        <f>K128-5</f>
        <v>81.8</v>
      </c>
      <c r="K128" s="234">
        <v>86.8</v>
      </c>
      <c r="L128" s="17"/>
      <c r="M128" s="17"/>
      <c r="N128" s="17"/>
      <c r="O128" s="17"/>
      <c r="P128" s="17"/>
      <c r="Q128" s="17"/>
      <c r="R128" s="17"/>
      <c r="S128" s="17"/>
    </row>
    <row r="129" spans="1:19" s="18" customFormat="1" x14ac:dyDescent="0.2">
      <c r="A129" s="45" t="s">
        <v>145</v>
      </c>
      <c r="B129" s="46" t="s">
        <v>51</v>
      </c>
      <c r="C129" s="234">
        <v>110.5</v>
      </c>
      <c r="D129" s="234">
        <v>82.8</v>
      </c>
      <c r="E129" s="234">
        <v>104.4</v>
      </c>
      <c r="F129" s="234">
        <f>G129-10</f>
        <v>192</v>
      </c>
      <c r="G129" s="234">
        <v>202</v>
      </c>
      <c r="H129" s="234">
        <f>I129-10</f>
        <v>192</v>
      </c>
      <c r="I129" s="234">
        <v>202</v>
      </c>
      <c r="J129" s="234">
        <f>K129-10</f>
        <v>192</v>
      </c>
      <c r="K129" s="234">
        <v>202</v>
      </c>
      <c r="L129" s="17"/>
      <c r="M129" s="17"/>
      <c r="N129" s="17"/>
      <c r="O129" s="17"/>
      <c r="P129" s="17"/>
      <c r="Q129" s="17"/>
      <c r="R129" s="17"/>
      <c r="S129" s="17"/>
    </row>
    <row r="130" spans="1:19" s="2" customFormat="1" ht="18.75" hidden="1" x14ac:dyDescent="0.2">
      <c r="A130" s="37" t="s">
        <v>72</v>
      </c>
      <c r="B130" s="51" t="s">
        <v>8</v>
      </c>
      <c r="C130" s="62"/>
      <c r="D130" s="63"/>
      <c r="E130" s="44"/>
      <c r="F130" s="44"/>
      <c r="G130" s="44"/>
      <c r="H130" s="44"/>
      <c r="I130" s="44"/>
      <c r="J130" s="44"/>
      <c r="K130" s="44"/>
      <c r="L130" s="4"/>
      <c r="M130" s="4"/>
      <c r="N130" s="4"/>
      <c r="O130" s="4"/>
      <c r="P130" s="4"/>
      <c r="Q130" s="4"/>
      <c r="R130" s="4"/>
      <c r="S130" s="4"/>
    </row>
    <row r="131" spans="1:19" s="2" customFormat="1" ht="18.75" hidden="1" x14ac:dyDescent="0.2">
      <c r="A131" s="37" t="s">
        <v>127</v>
      </c>
      <c r="B131" s="51" t="s">
        <v>4</v>
      </c>
      <c r="C131" s="62"/>
      <c r="D131" s="63"/>
      <c r="E131" s="44"/>
      <c r="F131" s="44"/>
      <c r="G131" s="44"/>
      <c r="H131" s="44"/>
      <c r="I131" s="44"/>
      <c r="J131" s="44"/>
      <c r="K131" s="44"/>
      <c r="L131" s="4"/>
      <c r="M131" s="4"/>
      <c r="N131" s="4"/>
      <c r="O131" s="4"/>
      <c r="P131" s="4"/>
      <c r="Q131" s="4"/>
      <c r="R131" s="4"/>
      <c r="S131" s="4"/>
    </row>
    <row r="132" spans="1:19" s="2" customFormat="1" ht="18.75" hidden="1" x14ac:dyDescent="0.2">
      <c r="A132" s="37" t="s">
        <v>73</v>
      </c>
      <c r="B132" s="51" t="s">
        <v>4</v>
      </c>
      <c r="C132" s="62"/>
      <c r="D132" s="63"/>
      <c r="E132" s="44"/>
      <c r="F132" s="44"/>
      <c r="G132" s="44"/>
      <c r="H132" s="44"/>
      <c r="I132" s="44"/>
      <c r="J132" s="44"/>
      <c r="K132" s="44"/>
      <c r="L132" s="4"/>
      <c r="M132" s="4"/>
      <c r="N132" s="4"/>
      <c r="O132" s="4"/>
      <c r="P132" s="4"/>
      <c r="Q132" s="4"/>
      <c r="R132" s="4"/>
      <c r="S132" s="4"/>
    </row>
    <row r="133" spans="1:19" s="2" customFormat="1" ht="18.75" hidden="1" x14ac:dyDescent="0.2">
      <c r="A133" s="37" t="s">
        <v>74</v>
      </c>
      <c r="B133" s="51" t="s">
        <v>4</v>
      </c>
      <c r="C133" s="62"/>
      <c r="D133" s="63"/>
      <c r="E133" s="44"/>
      <c r="F133" s="44"/>
      <c r="G133" s="44"/>
      <c r="H133" s="44"/>
      <c r="I133" s="44"/>
      <c r="J133" s="44"/>
      <c r="K133" s="44"/>
      <c r="L133" s="4"/>
      <c r="M133" s="4"/>
      <c r="N133" s="4"/>
      <c r="O133" s="4"/>
      <c r="P133" s="4"/>
      <c r="Q133" s="4"/>
      <c r="R133" s="4"/>
      <c r="S133" s="4"/>
    </row>
    <row r="134" spans="1:19" s="2" customFormat="1" ht="18.75" hidden="1" x14ac:dyDescent="0.2">
      <c r="A134" s="58" t="s">
        <v>128</v>
      </c>
      <c r="B134" s="51" t="s">
        <v>10</v>
      </c>
      <c r="C134" s="62"/>
      <c r="D134" s="63"/>
      <c r="E134" s="44"/>
      <c r="F134" s="44"/>
      <c r="G134" s="44"/>
      <c r="H134" s="44"/>
      <c r="I134" s="44"/>
      <c r="J134" s="44"/>
      <c r="K134" s="44"/>
      <c r="L134" s="4"/>
      <c r="M134" s="4"/>
      <c r="N134" s="4"/>
      <c r="O134" s="4"/>
      <c r="P134" s="4"/>
      <c r="Q134" s="4"/>
      <c r="R134" s="4"/>
      <c r="S134" s="4"/>
    </row>
    <row r="135" spans="1:19" s="2" customFormat="1" ht="24" hidden="1" x14ac:dyDescent="0.2">
      <c r="A135" s="37" t="s">
        <v>75</v>
      </c>
      <c r="B135" s="51" t="s">
        <v>4</v>
      </c>
      <c r="C135" s="64"/>
      <c r="D135" s="63"/>
      <c r="E135" s="44"/>
      <c r="F135" s="44"/>
      <c r="G135" s="44"/>
      <c r="H135" s="44"/>
      <c r="I135" s="44"/>
      <c r="J135" s="44"/>
      <c r="K135" s="44"/>
      <c r="L135" s="4"/>
      <c r="M135" s="4"/>
      <c r="N135" s="4"/>
      <c r="O135" s="4"/>
      <c r="P135" s="4"/>
      <c r="Q135" s="4"/>
      <c r="R135" s="4"/>
      <c r="S135" s="4"/>
    </row>
    <row r="136" spans="1:19" s="2" customFormat="1" ht="24" hidden="1" x14ac:dyDescent="0.2">
      <c r="A136" s="37" t="s">
        <v>76</v>
      </c>
      <c r="B136" s="38" t="s">
        <v>18</v>
      </c>
      <c r="C136" s="62"/>
      <c r="D136" s="63"/>
      <c r="E136" s="44"/>
      <c r="F136" s="44"/>
      <c r="G136" s="44"/>
      <c r="H136" s="44"/>
      <c r="I136" s="44"/>
      <c r="J136" s="44"/>
      <c r="K136" s="44"/>
      <c r="L136" s="4"/>
      <c r="M136" s="4"/>
      <c r="N136" s="4"/>
      <c r="O136" s="4"/>
      <c r="P136" s="4"/>
      <c r="Q136" s="4"/>
      <c r="R136" s="4"/>
      <c r="S136" s="4"/>
    </row>
    <row r="137" spans="1:19" s="2" customFormat="1" ht="18.75" hidden="1" x14ac:dyDescent="0.2">
      <c r="A137" s="37" t="s">
        <v>130</v>
      </c>
      <c r="B137" s="51" t="s">
        <v>8</v>
      </c>
      <c r="C137" s="64"/>
      <c r="D137" s="63"/>
      <c r="E137" s="44"/>
      <c r="F137" s="44"/>
      <c r="G137" s="44"/>
      <c r="H137" s="44"/>
      <c r="I137" s="44"/>
      <c r="J137" s="44"/>
      <c r="K137" s="44"/>
      <c r="L137" s="4"/>
      <c r="M137" s="4"/>
      <c r="N137" s="4"/>
      <c r="O137" s="4"/>
      <c r="P137" s="4"/>
      <c r="Q137" s="4"/>
      <c r="R137" s="4"/>
      <c r="S137" s="4"/>
    </row>
    <row r="138" spans="1:19" s="18" customFormat="1" ht="18.75" hidden="1" x14ac:dyDescent="0.2">
      <c r="A138" s="37" t="s">
        <v>129</v>
      </c>
      <c r="B138" s="51" t="s">
        <v>8</v>
      </c>
      <c r="C138" s="65"/>
      <c r="D138" s="63"/>
      <c r="E138" s="39"/>
      <c r="F138" s="39"/>
      <c r="G138" s="39"/>
      <c r="H138" s="39"/>
      <c r="I138" s="39"/>
      <c r="J138" s="39"/>
      <c r="K138" s="39"/>
      <c r="L138" s="17"/>
      <c r="M138" s="17"/>
      <c r="N138" s="17"/>
      <c r="O138" s="17"/>
      <c r="P138" s="17"/>
      <c r="Q138" s="17"/>
      <c r="R138" s="17"/>
      <c r="S138" s="17"/>
    </row>
    <row r="139" spans="1:19" s="2" customFormat="1" ht="18.75" hidden="1" x14ac:dyDescent="0.2">
      <c r="A139" s="37" t="s">
        <v>89</v>
      </c>
      <c r="B139" s="51" t="s">
        <v>30</v>
      </c>
      <c r="C139" s="62"/>
      <c r="D139" s="63"/>
      <c r="E139" s="44"/>
      <c r="F139" s="44"/>
      <c r="G139" s="44"/>
      <c r="H139" s="44"/>
      <c r="I139" s="44"/>
      <c r="J139" s="44"/>
      <c r="K139" s="44"/>
      <c r="L139" s="4"/>
      <c r="M139" s="4"/>
      <c r="N139" s="4"/>
      <c r="O139" s="4"/>
      <c r="P139" s="4"/>
      <c r="Q139" s="4"/>
      <c r="R139" s="4"/>
      <c r="S139" s="4"/>
    </row>
    <row r="140" spans="1:19" s="2" customFormat="1" ht="18.75" hidden="1" x14ac:dyDescent="0.2">
      <c r="A140" s="37" t="s">
        <v>52</v>
      </c>
      <c r="B140" s="51" t="s">
        <v>30</v>
      </c>
      <c r="C140" s="65"/>
      <c r="D140" s="63"/>
      <c r="E140" s="44"/>
      <c r="F140" s="44"/>
      <c r="G140" s="44"/>
      <c r="H140" s="44"/>
      <c r="I140" s="44"/>
      <c r="J140" s="44"/>
      <c r="K140" s="44"/>
      <c r="L140" s="4"/>
      <c r="M140" s="4"/>
      <c r="N140" s="4"/>
      <c r="O140" s="4"/>
      <c r="P140" s="4"/>
      <c r="Q140" s="4"/>
      <c r="R140" s="4"/>
      <c r="S140" s="4"/>
    </row>
    <row r="141" spans="1:19" s="2" customFormat="1" ht="18.75" hidden="1" x14ac:dyDescent="0.2">
      <c r="A141" s="37" t="s">
        <v>131</v>
      </c>
      <c r="B141" s="51" t="s">
        <v>34</v>
      </c>
      <c r="C141" s="65"/>
      <c r="D141" s="63"/>
      <c r="E141" s="44"/>
      <c r="F141" s="44"/>
      <c r="G141" s="44"/>
      <c r="H141" s="44"/>
      <c r="I141" s="44"/>
      <c r="J141" s="44"/>
      <c r="K141" s="44"/>
      <c r="L141" s="4"/>
      <c r="M141" s="4"/>
      <c r="N141" s="4"/>
      <c r="O141" s="4"/>
      <c r="P141" s="4"/>
      <c r="Q141" s="4"/>
      <c r="R141" s="4"/>
      <c r="S141" s="4"/>
    </row>
    <row r="142" spans="1:19" s="2" customFormat="1" ht="18.75" hidden="1" x14ac:dyDescent="0.2">
      <c r="A142" s="37" t="s">
        <v>132</v>
      </c>
      <c r="B142" s="51" t="s">
        <v>33</v>
      </c>
      <c r="C142" s="62"/>
      <c r="D142" s="63"/>
      <c r="E142" s="44"/>
      <c r="F142" s="44"/>
      <c r="G142" s="44"/>
      <c r="H142" s="44"/>
      <c r="I142" s="44"/>
      <c r="J142" s="44"/>
      <c r="K142" s="44"/>
      <c r="L142" s="4"/>
      <c r="M142" s="4"/>
      <c r="N142" s="4"/>
      <c r="O142" s="4"/>
      <c r="P142" s="4"/>
      <c r="Q142" s="4"/>
      <c r="R142" s="4"/>
      <c r="S142" s="4"/>
    </row>
    <row r="143" spans="1:19" s="2" customFormat="1" ht="18.75" hidden="1" x14ac:dyDescent="0.2">
      <c r="A143" s="37" t="s">
        <v>143</v>
      </c>
      <c r="B143" s="46" t="s">
        <v>35</v>
      </c>
      <c r="C143" s="62"/>
      <c r="D143" s="63"/>
      <c r="E143" s="44"/>
      <c r="F143" s="44"/>
      <c r="G143" s="44"/>
      <c r="H143" s="44"/>
      <c r="I143" s="44"/>
      <c r="J143" s="44"/>
      <c r="K143" s="44"/>
      <c r="L143" s="4"/>
      <c r="M143" s="4"/>
      <c r="N143" s="4"/>
      <c r="O143" s="4"/>
      <c r="P143" s="4"/>
      <c r="Q143" s="4"/>
      <c r="R143" s="4"/>
      <c r="S143" s="4"/>
    </row>
    <row r="144" spans="1:19" s="18" customFormat="1" hidden="1" x14ac:dyDescent="0.2">
      <c r="A144" s="37" t="s">
        <v>78</v>
      </c>
      <c r="B144" s="51" t="s">
        <v>12</v>
      </c>
      <c r="C144" s="235"/>
      <c r="D144" s="235"/>
      <c r="E144" s="235"/>
      <c r="F144" s="235"/>
      <c r="G144" s="235"/>
      <c r="H144" s="235"/>
      <c r="I144" s="235"/>
      <c r="J144" s="235"/>
      <c r="K144" s="235"/>
      <c r="L144" s="17"/>
      <c r="M144" s="17"/>
      <c r="N144" s="17"/>
      <c r="O144" s="17"/>
      <c r="P144" s="17"/>
      <c r="Q144" s="17"/>
      <c r="R144" s="17"/>
      <c r="S144" s="17"/>
    </row>
    <row r="145" spans="1:19" s="18" customFormat="1" x14ac:dyDescent="0.2">
      <c r="A145" s="52" t="s">
        <v>9</v>
      </c>
      <c r="B145" s="46"/>
      <c r="C145" s="235"/>
      <c r="D145" s="235"/>
      <c r="E145" s="235"/>
      <c r="F145" s="235"/>
      <c r="G145" s="235"/>
      <c r="H145" s="235"/>
      <c r="I145" s="235"/>
      <c r="J145" s="235"/>
      <c r="K145" s="235"/>
      <c r="L145" s="17"/>
      <c r="M145" s="17"/>
      <c r="N145" s="17"/>
      <c r="O145" s="17"/>
      <c r="P145" s="17"/>
      <c r="Q145" s="17"/>
      <c r="R145" s="17"/>
      <c r="S145" s="17"/>
    </row>
    <row r="146" spans="1:19" s="16" customFormat="1" ht="24" x14ac:dyDescent="0.2">
      <c r="A146" s="45" t="s">
        <v>21</v>
      </c>
      <c r="B146" s="46" t="s">
        <v>41</v>
      </c>
      <c r="C146" s="235">
        <v>5445.3</v>
      </c>
      <c r="D146" s="235">
        <v>6706.1</v>
      </c>
      <c r="E146" s="236">
        <v>7376.7100000000009</v>
      </c>
      <c r="F146" s="236">
        <v>8014.3810000000021</v>
      </c>
      <c r="G146" s="236">
        <v>8114.3810000000021</v>
      </c>
      <c r="H146" s="236">
        <v>8810.8191000000024</v>
      </c>
      <c r="I146" s="236">
        <v>8925.8191000000024</v>
      </c>
      <c r="J146" s="236">
        <v>9688.4010100000032</v>
      </c>
      <c r="K146" s="236">
        <v>9818.4010100000032</v>
      </c>
      <c r="L146" s="15"/>
      <c r="M146" s="15"/>
      <c r="N146" s="15"/>
      <c r="O146" s="15"/>
      <c r="P146" s="15"/>
      <c r="Q146" s="15"/>
      <c r="R146" s="15"/>
      <c r="S146" s="15"/>
    </row>
    <row r="147" spans="1:19" s="16" customFormat="1" x14ac:dyDescent="0.2">
      <c r="A147" s="48" t="s">
        <v>22</v>
      </c>
      <c r="B147" s="46" t="s">
        <v>42</v>
      </c>
      <c r="C147" s="235"/>
      <c r="D147" s="236">
        <f>D146/(C146*D148%)*100</f>
        <v>114.36708909339102</v>
      </c>
      <c r="E147" s="236">
        <f>E146/(D146*E148%)*100</f>
        <v>101.24904503741612</v>
      </c>
      <c r="F147" s="236">
        <f>F146/(E146*F148%)*100</f>
        <v>103.32323548848943</v>
      </c>
      <c r="G147" s="236">
        <f>G146/(E146*G148%)*100</f>
        <v>104.81181515007148</v>
      </c>
      <c r="H147" s="236">
        <f>H146/(F146*H148%)*100</f>
        <v>105.67875819471202</v>
      </c>
      <c r="I147" s="236">
        <f>I146/(G146*I148%)*100</f>
        <v>105.73872921272711</v>
      </c>
      <c r="J147" s="236">
        <f>J146/(H146*J148%)*100</f>
        <v>105.70054418051693</v>
      </c>
      <c r="K147" s="236">
        <f>K146/(I146*K148%)*100</f>
        <v>105.73872921272709</v>
      </c>
      <c r="L147" s="15"/>
      <c r="M147" s="15"/>
      <c r="N147" s="15"/>
      <c r="O147" s="15"/>
      <c r="P147" s="15"/>
      <c r="Q147" s="15"/>
      <c r="R147" s="15"/>
      <c r="S147" s="15"/>
    </row>
    <row r="148" spans="1:19" s="16" customFormat="1" x14ac:dyDescent="0.2">
      <c r="A148" s="48" t="s">
        <v>23</v>
      </c>
      <c r="B148" s="46" t="s">
        <v>42</v>
      </c>
      <c r="C148" s="235"/>
      <c r="D148" s="236">
        <f>'Дефлятор базовый'!$B$96</f>
        <v>107.68300000000001</v>
      </c>
      <c r="E148" s="236">
        <f>'Дефлятор базовый'!$C$96</f>
        <v>108.643</v>
      </c>
      <c r="F148" s="236">
        <f>'Дефлятор консервативный'!E29</f>
        <v>105.15</v>
      </c>
      <c r="G148" s="236">
        <f>'Дефлятор базовый'!$D$96</f>
        <v>104.95</v>
      </c>
      <c r="H148" s="236">
        <f>'Дефлятор консервативный'!F29</f>
        <v>104.03</v>
      </c>
      <c r="I148" s="236">
        <f>'Дефлятор базовый'!$E$96</f>
        <v>104.03</v>
      </c>
      <c r="J148" s="236">
        <f>'Дефлятор консервативный'!G29</f>
        <v>104.03</v>
      </c>
      <c r="K148" s="236">
        <f>'Дефлятор базовый'!$F$96</f>
        <v>104.03</v>
      </c>
      <c r="L148" s="15"/>
      <c r="M148" s="15"/>
      <c r="N148" s="15"/>
      <c r="O148" s="15"/>
      <c r="P148" s="15"/>
      <c r="Q148" s="15"/>
      <c r="R148" s="15"/>
      <c r="S148" s="15"/>
    </row>
    <row r="149" spans="1:19" s="16" customFormat="1" ht="24" x14ac:dyDescent="0.2">
      <c r="A149" s="45" t="s">
        <v>24</v>
      </c>
      <c r="B149" s="46" t="s">
        <v>41</v>
      </c>
      <c r="C149" s="235">
        <v>775.1</v>
      </c>
      <c r="D149" s="236">
        <v>852.61000000000013</v>
      </c>
      <c r="E149" s="236">
        <v>937.87100000000021</v>
      </c>
      <c r="F149" s="236">
        <v>939.76455000000021</v>
      </c>
      <c r="G149" s="236">
        <v>984.76455000000021</v>
      </c>
      <c r="H149" s="236">
        <v>987.00277750000032</v>
      </c>
      <c r="I149" s="236">
        <v>1034.0027775000003</v>
      </c>
      <c r="J149" s="236">
        <v>1034.6689135975005</v>
      </c>
      <c r="K149" s="236">
        <v>1084.6689135975005</v>
      </c>
      <c r="L149" s="15"/>
      <c r="M149" s="15"/>
      <c r="N149" s="15"/>
      <c r="O149" s="15"/>
      <c r="P149" s="15"/>
      <c r="Q149" s="15"/>
      <c r="R149" s="15"/>
      <c r="S149" s="15"/>
    </row>
    <row r="150" spans="1:19" s="16" customFormat="1" x14ac:dyDescent="0.2">
      <c r="A150" s="48" t="s">
        <v>25</v>
      </c>
      <c r="B150" s="46" t="s">
        <v>42</v>
      </c>
      <c r="C150" s="235"/>
      <c r="D150" s="236">
        <f>D149/(C149*D151%)*100</f>
        <v>99.737780308498031</v>
      </c>
      <c r="E150" s="236">
        <f>E149/(D149*E151%)*100</f>
        <v>99.046274419408746</v>
      </c>
      <c r="F150" s="236">
        <f>F149/(E149*F151%)*100</f>
        <v>94.440997896884056</v>
      </c>
      <c r="G150" s="236">
        <f>G149/(E149*G151%)*100</f>
        <v>98.963242224316701</v>
      </c>
      <c r="H150" s="236">
        <f>H149/(F149*H151%)*100</f>
        <v>100.50392574929958</v>
      </c>
      <c r="I150" s="236">
        <f>I149/(G149*I151%)*100</f>
        <v>100.47846889952154</v>
      </c>
      <c r="J150" s="236">
        <f>J149/(H149*J151%)*100</f>
        <v>100.76841503823574</v>
      </c>
      <c r="K150" s="236">
        <f>K149/(I149*K151%)*100</f>
        <v>100.83629722195522</v>
      </c>
      <c r="L150" s="15"/>
      <c r="M150" s="15"/>
      <c r="N150" s="15"/>
      <c r="O150" s="15"/>
      <c r="P150" s="15"/>
      <c r="Q150" s="15"/>
      <c r="R150" s="15"/>
      <c r="S150" s="15"/>
    </row>
    <row r="151" spans="1:19" s="16" customFormat="1" x14ac:dyDescent="0.2">
      <c r="A151" s="48" t="s">
        <v>59</v>
      </c>
      <c r="B151" s="46" t="s">
        <v>42</v>
      </c>
      <c r="C151" s="235"/>
      <c r="D151" s="236">
        <f>'Дефлятор базовый'!$B$98</f>
        <v>110.28919999999999</v>
      </c>
      <c r="E151" s="236">
        <f>'Дефлятор базовый'!$C$98</f>
        <v>111.0592</v>
      </c>
      <c r="F151" s="236">
        <f>'Дефлятор консервативный'!E34</f>
        <v>106.1</v>
      </c>
      <c r="G151" s="236">
        <f>'Дефлятор базовый'!$D$98</f>
        <v>106.1</v>
      </c>
      <c r="H151" s="236">
        <f>'Дефлятор консервативный'!F34</f>
        <v>104.5</v>
      </c>
      <c r="I151" s="236">
        <f>'Дефлятор базовый'!$E$98</f>
        <v>104.5</v>
      </c>
      <c r="J151" s="236">
        <f>'Дефлятор консервативный'!G34</f>
        <v>104.03</v>
      </c>
      <c r="K151" s="236">
        <f>'Дефлятор базовый'!$F$98</f>
        <v>104.03</v>
      </c>
      <c r="L151" s="15"/>
      <c r="M151" s="15"/>
      <c r="N151" s="15"/>
      <c r="O151" s="15"/>
      <c r="P151" s="15"/>
      <c r="Q151" s="15"/>
      <c r="R151" s="15"/>
      <c r="S151" s="15"/>
    </row>
    <row r="152" spans="1:19" x14ac:dyDescent="0.2">
      <c r="A152" s="45"/>
      <c r="B152" s="46"/>
      <c r="C152" s="235"/>
      <c r="D152" s="235"/>
      <c r="E152" s="235"/>
      <c r="F152" s="235"/>
      <c r="G152" s="235"/>
      <c r="H152" s="235"/>
      <c r="I152" s="235"/>
      <c r="J152" s="235"/>
      <c r="K152" s="235"/>
    </row>
    <row r="153" spans="1:19" x14ac:dyDescent="0.2">
      <c r="A153" s="53" t="s">
        <v>37</v>
      </c>
      <c r="B153" s="42"/>
      <c r="C153" s="235"/>
      <c r="D153" s="235"/>
      <c r="E153" s="235"/>
      <c r="F153" s="235"/>
      <c r="G153" s="235"/>
      <c r="H153" s="235"/>
      <c r="I153" s="235"/>
      <c r="J153" s="235"/>
      <c r="K153" s="235"/>
    </row>
    <row r="154" spans="1:19" x14ac:dyDescent="0.2">
      <c r="A154" s="37" t="s">
        <v>44</v>
      </c>
      <c r="B154" s="38" t="s">
        <v>40</v>
      </c>
      <c r="C154" s="235">
        <v>36.5</v>
      </c>
      <c r="D154" s="235">
        <v>150.19999999999999</v>
      </c>
      <c r="E154" s="236">
        <v>40</v>
      </c>
      <c r="F154" s="236">
        <f>G154-5</f>
        <v>39</v>
      </c>
      <c r="G154" s="236">
        <v>44</v>
      </c>
      <c r="H154" s="236">
        <v>44</v>
      </c>
      <c r="I154" s="236">
        <v>50</v>
      </c>
      <c r="J154" s="236">
        <f>K154-20</f>
        <v>130</v>
      </c>
      <c r="K154" s="236">
        <v>150</v>
      </c>
    </row>
    <row r="155" spans="1:19" s="294" customFormat="1" x14ac:dyDescent="0.2">
      <c r="A155" s="301" t="s">
        <v>20</v>
      </c>
      <c r="B155" s="300" t="s">
        <v>3</v>
      </c>
      <c r="C155" s="235"/>
      <c r="D155" s="236">
        <f>D154/(C154*D156%)*100</f>
        <v>381.70647272501975</v>
      </c>
      <c r="E155" s="236">
        <f t="shared" ref="E155:F155" si="3">E154/(D154*E156%)*100</f>
        <v>25.280576346800693</v>
      </c>
      <c r="F155" s="236">
        <f t="shared" si="3"/>
        <v>93.034351145038158</v>
      </c>
      <c r="G155" s="236">
        <f>G154/(E154*'Дефлятор базовый'!D93%)*100</f>
        <v>105.19877661751804</v>
      </c>
      <c r="H155" s="236">
        <f>H154/(F154*H156%)*100</f>
        <v>107.75598168148312</v>
      </c>
      <c r="I155" s="236">
        <f>I154/(G154*I156%)*100</f>
        <v>108.72077851813575</v>
      </c>
      <c r="J155" s="236">
        <f>J154/(H154*J156%)*100</f>
        <v>282.73162244454113</v>
      </c>
      <c r="K155" s="236">
        <f>K154/(I154*K156%)*100</f>
        <v>287.51597707612098</v>
      </c>
      <c r="L155" s="293"/>
      <c r="M155" s="293"/>
      <c r="N155" s="293"/>
      <c r="O155" s="293"/>
      <c r="P155" s="293"/>
      <c r="Q155" s="293"/>
      <c r="R155" s="293"/>
      <c r="S155" s="293"/>
    </row>
    <row r="156" spans="1:19" x14ac:dyDescent="0.2">
      <c r="A156" s="40" t="s">
        <v>13</v>
      </c>
      <c r="B156" s="46" t="s">
        <v>3</v>
      </c>
      <c r="C156" s="235"/>
      <c r="D156" s="236">
        <f>'Дефлятор базовый'!B93</f>
        <v>107.80714468300798</v>
      </c>
      <c r="E156" s="236">
        <f>'Дефлятор базовый'!C93</f>
        <v>105.34237071997387</v>
      </c>
      <c r="F156" s="236">
        <v>104.8</v>
      </c>
      <c r="G156" s="236">
        <f>'Дефлятор базовый'!D93</f>
        <v>104.56395362841361</v>
      </c>
      <c r="H156" s="236">
        <v>104.7</v>
      </c>
      <c r="I156" s="236">
        <f>'Дефлятор базовый'!E93</f>
        <v>104.52129315594252</v>
      </c>
      <c r="J156" s="236">
        <v>104.5</v>
      </c>
      <c r="K156" s="236">
        <f>'Дефлятор базовый'!F93</f>
        <v>104.34202754602879</v>
      </c>
    </row>
    <row r="157" spans="1:19" s="16" customFormat="1" ht="24" x14ac:dyDescent="0.2">
      <c r="A157" s="41" t="s">
        <v>45</v>
      </c>
      <c r="B157" s="46" t="s">
        <v>43</v>
      </c>
      <c r="C157" s="239">
        <v>17606</v>
      </c>
      <c r="D157" s="239">
        <v>27519</v>
      </c>
      <c r="E157" s="239">
        <v>15000</v>
      </c>
      <c r="F157" s="239">
        <f>G157-2000</f>
        <v>14000</v>
      </c>
      <c r="G157" s="239">
        <v>16000</v>
      </c>
      <c r="H157" s="239">
        <f>I157-2000</f>
        <v>14000</v>
      </c>
      <c r="I157" s="239">
        <v>16000</v>
      </c>
      <c r="J157" s="239">
        <f>K157-4000</f>
        <v>24340.7</v>
      </c>
      <c r="K157" s="239">
        <v>28340.7</v>
      </c>
      <c r="L157" s="15"/>
      <c r="M157" s="15"/>
      <c r="N157" s="15"/>
      <c r="O157" s="15"/>
      <c r="P157" s="15"/>
      <c r="Q157" s="15"/>
      <c r="R157" s="15"/>
      <c r="S157" s="15"/>
    </row>
    <row r="158" spans="1:19" s="365" customFormat="1" ht="24" x14ac:dyDescent="0.2">
      <c r="A158" s="368" t="s">
        <v>19</v>
      </c>
      <c r="B158" s="54" t="s">
        <v>41</v>
      </c>
      <c r="C158" s="238">
        <v>1378.9570000000001</v>
      </c>
      <c r="D158" s="238">
        <v>1460.78</v>
      </c>
      <c r="E158" s="238">
        <v>2570</v>
      </c>
      <c r="F158" s="238">
        <f>G158-150</f>
        <v>1920</v>
      </c>
      <c r="G158" s="238">
        <v>2070</v>
      </c>
      <c r="H158" s="238">
        <f>I158-150</f>
        <v>1350</v>
      </c>
      <c r="I158" s="238">
        <v>1500</v>
      </c>
      <c r="J158" s="238">
        <f>K158-180</f>
        <v>1520</v>
      </c>
      <c r="K158" s="238">
        <v>1700</v>
      </c>
      <c r="L158" s="364"/>
      <c r="M158" s="364"/>
      <c r="N158" s="364"/>
      <c r="O158" s="364"/>
      <c r="P158" s="364"/>
      <c r="Q158" s="364"/>
      <c r="R158" s="364"/>
      <c r="S158" s="364"/>
    </row>
    <row r="159" spans="1:19" x14ac:dyDescent="0.2">
      <c r="A159" s="48" t="s">
        <v>20</v>
      </c>
      <c r="B159" s="46" t="s">
        <v>3</v>
      </c>
      <c r="C159" s="239"/>
      <c r="D159" s="238">
        <f>D158/(C158*D160%)*100</f>
        <v>97.959469925360068</v>
      </c>
      <c r="E159" s="238">
        <f>E158/(D158*E160%)*100</f>
        <v>163.25004308187044</v>
      </c>
      <c r="F159" s="238">
        <f>F158/(E158*F160%)*100</f>
        <v>70.679442957640191</v>
      </c>
      <c r="G159" s="238">
        <f>G158/(E158*'Дефлятор базовый'!D90%)*100</f>
        <v>76.517707947501407</v>
      </c>
      <c r="H159" s="238">
        <f>H158/(F158*H160%)*100</f>
        <v>67.319282731891889</v>
      </c>
      <c r="I159" s="238">
        <f>I158/(G158*I160%)*100</f>
        <v>69.380906260533663</v>
      </c>
      <c r="J159" s="238">
        <f>J158/(H158*J160%)*100</f>
        <v>107.90291605500977</v>
      </c>
      <c r="K159" s="238">
        <f>K158/(I158*K160%)*100</f>
        <v>108.63361674285225</v>
      </c>
    </row>
    <row r="160" spans="1:19" s="16" customFormat="1" x14ac:dyDescent="0.2">
      <c r="A160" s="40" t="s">
        <v>13</v>
      </c>
      <c r="B160" s="46" t="s">
        <v>3</v>
      </c>
      <c r="C160" s="239"/>
      <c r="D160" s="238">
        <f>'Дефлятор базовый'!B90</f>
        <v>108.1403233838721</v>
      </c>
      <c r="E160" s="238">
        <f>'Дефлятор базовый'!C90</f>
        <v>107.76928576533216</v>
      </c>
      <c r="F160" s="238">
        <f>'Дефлятор консервативный'!E25</f>
        <v>105.7</v>
      </c>
      <c r="G160" s="238">
        <f>'Дефлятор базовый'!D90</f>
        <v>105.26288520949112</v>
      </c>
      <c r="H160" s="238">
        <f>'Дефлятор консервативный'!F25</f>
        <v>104.44629999999999</v>
      </c>
      <c r="I160" s="238">
        <f>'Дефлятор базовый'!E90</f>
        <v>104.44338654763581</v>
      </c>
      <c r="J160" s="238">
        <f>'Дефлятор консервативный'!G25</f>
        <v>104.3462</v>
      </c>
      <c r="K160" s="238">
        <f>'Дефлятор базовый'!F90</f>
        <v>104.32620834267705</v>
      </c>
      <c r="L160" s="15"/>
      <c r="M160" s="15"/>
      <c r="N160" s="15"/>
      <c r="O160" s="15"/>
      <c r="P160" s="15"/>
      <c r="Q160" s="15"/>
      <c r="R160" s="15"/>
      <c r="S160" s="15"/>
    </row>
    <row r="161" spans="1:19" s="294" customFormat="1" ht="24" x14ac:dyDescent="0.2">
      <c r="A161" s="297" t="s">
        <v>46</v>
      </c>
      <c r="B161" s="300" t="s">
        <v>31</v>
      </c>
      <c r="C161" s="239">
        <f>'Сроки ввода'!R40</f>
        <v>3</v>
      </c>
      <c r="D161" s="239">
        <f>'Сроки ввода'!S40</f>
        <v>9</v>
      </c>
      <c r="E161" s="239">
        <f>'Сроки ввода'!T40</f>
        <v>7</v>
      </c>
      <c r="F161" s="239">
        <f>G161</f>
        <v>8</v>
      </c>
      <c r="G161" s="239">
        <f>'Сроки ввода'!U40</f>
        <v>8</v>
      </c>
      <c r="H161" s="239">
        <f>I161</f>
        <v>4</v>
      </c>
      <c r="I161" s="239">
        <f>'Сроки ввода'!V40</f>
        <v>4</v>
      </c>
      <c r="J161" s="239">
        <f>K161</f>
        <v>2</v>
      </c>
      <c r="K161" s="239">
        <f>'Сроки ввода'!W40</f>
        <v>2</v>
      </c>
      <c r="L161" s="293"/>
      <c r="M161" s="293"/>
      <c r="N161" s="293"/>
      <c r="O161" s="293"/>
      <c r="P161" s="293"/>
      <c r="Q161" s="293"/>
      <c r="R161" s="293"/>
      <c r="S161" s="293"/>
    </row>
    <row r="162" spans="1:19" hidden="1" x14ac:dyDescent="0.2">
      <c r="A162" s="41"/>
      <c r="B162" s="46"/>
      <c r="C162" s="239"/>
      <c r="D162" s="239"/>
      <c r="E162" s="239"/>
      <c r="F162" s="239"/>
      <c r="G162" s="239"/>
      <c r="H162" s="239"/>
      <c r="I162" s="239"/>
      <c r="J162" s="239"/>
      <c r="K162" s="239"/>
    </row>
    <row r="163" spans="1:19" s="16" customFormat="1" hidden="1" x14ac:dyDescent="0.2">
      <c r="A163" s="41"/>
      <c r="B163" s="46"/>
      <c r="C163" s="239"/>
      <c r="D163" s="239"/>
      <c r="E163" s="239"/>
      <c r="F163" s="239"/>
      <c r="G163" s="239"/>
      <c r="H163" s="239"/>
      <c r="I163" s="239"/>
      <c r="J163" s="239"/>
      <c r="K163" s="239"/>
      <c r="L163" s="15"/>
      <c r="M163" s="15"/>
      <c r="N163" s="15"/>
      <c r="O163" s="15"/>
      <c r="P163" s="15"/>
      <c r="Q163" s="15"/>
      <c r="R163" s="15"/>
      <c r="S163" s="15"/>
    </row>
    <row r="164" spans="1:19" s="294" customFormat="1" x14ac:dyDescent="0.2">
      <c r="A164" s="297" t="s">
        <v>54</v>
      </c>
      <c r="B164" s="300" t="s">
        <v>32</v>
      </c>
      <c r="C164" s="238">
        <f>'Ввод новых ОФ'!R40</f>
        <v>408.7</v>
      </c>
      <c r="D164" s="238">
        <f>'Ввод новых ОФ'!S40</f>
        <v>262.185</v>
      </c>
      <c r="E164" s="238">
        <f>'Ввод новых ОФ'!T40</f>
        <v>2495.9499999999998</v>
      </c>
      <c r="F164" s="238">
        <f>G164</f>
        <v>1993.8600000000001</v>
      </c>
      <c r="G164" s="238">
        <f>'Ввод новых ОФ'!U40</f>
        <v>1993.8600000000001</v>
      </c>
      <c r="H164" s="238">
        <f>I164</f>
        <v>188.9</v>
      </c>
      <c r="I164" s="238">
        <f>'Ввод новых ОФ'!V40</f>
        <v>188.9</v>
      </c>
      <c r="J164" s="238">
        <f>K164</f>
        <v>175.9</v>
      </c>
      <c r="K164" s="238">
        <f>'Ввод новых ОФ'!W40</f>
        <v>175.9</v>
      </c>
      <c r="L164" s="293"/>
      <c r="M164" s="293"/>
      <c r="N164" s="293"/>
      <c r="O164" s="293"/>
      <c r="P164" s="293"/>
      <c r="Q164" s="293"/>
      <c r="R164" s="293"/>
      <c r="S164" s="293"/>
    </row>
    <row r="165" spans="1:19" s="16" customFormat="1" hidden="1" x14ac:dyDescent="0.2">
      <c r="A165" s="41"/>
      <c r="B165" s="46"/>
      <c r="C165" s="239"/>
      <c r="D165" s="239"/>
      <c r="E165" s="239"/>
      <c r="F165" s="239"/>
      <c r="G165" s="239"/>
      <c r="H165" s="239"/>
      <c r="I165" s="239"/>
      <c r="J165" s="239"/>
      <c r="K165" s="239"/>
      <c r="L165" s="15"/>
      <c r="M165" s="15"/>
      <c r="N165" s="15"/>
      <c r="O165" s="15"/>
      <c r="P165" s="15"/>
      <c r="Q165" s="15"/>
      <c r="R165" s="15"/>
      <c r="S165" s="15"/>
    </row>
    <row r="166" spans="1:19" s="16" customFormat="1" hidden="1" x14ac:dyDescent="0.2">
      <c r="A166" s="41"/>
      <c r="B166" s="46"/>
      <c r="C166" s="235"/>
      <c r="D166" s="235"/>
      <c r="E166" s="235"/>
      <c r="F166" s="235"/>
      <c r="G166" s="235"/>
      <c r="H166" s="235"/>
      <c r="I166" s="235"/>
      <c r="J166" s="235"/>
      <c r="K166" s="235"/>
      <c r="L166" s="15"/>
      <c r="M166" s="15"/>
      <c r="N166" s="15"/>
      <c r="O166" s="15"/>
      <c r="P166" s="15"/>
      <c r="Q166" s="15"/>
      <c r="R166" s="15"/>
      <c r="S166" s="15"/>
    </row>
    <row r="167" spans="1:19" s="16" customFormat="1" hidden="1" x14ac:dyDescent="0.2">
      <c r="A167" s="41"/>
      <c r="B167" s="46"/>
      <c r="C167" s="235"/>
      <c r="D167" s="235"/>
      <c r="E167" s="235"/>
      <c r="F167" s="235"/>
      <c r="G167" s="235"/>
      <c r="H167" s="235"/>
      <c r="I167" s="235"/>
      <c r="J167" s="235"/>
      <c r="K167" s="235"/>
      <c r="L167" s="15"/>
      <c r="M167" s="15"/>
      <c r="N167" s="15"/>
      <c r="O167" s="15"/>
      <c r="P167" s="15"/>
      <c r="Q167" s="15"/>
      <c r="R167" s="15"/>
      <c r="S167" s="15"/>
    </row>
    <row r="168" spans="1:19" s="16" customFormat="1" ht="24" x14ac:dyDescent="0.2">
      <c r="A168" s="41" t="s">
        <v>80</v>
      </c>
      <c r="B168" s="46" t="s">
        <v>32</v>
      </c>
      <c r="C168" s="236">
        <v>4846.88</v>
      </c>
      <c r="D168" s="236">
        <v>4943.8176000000003</v>
      </c>
      <c r="E168" s="236">
        <v>4993.255776</v>
      </c>
      <c r="F168" s="236">
        <v>5043.1883337600002</v>
      </c>
      <c r="G168" s="236">
        <v>5093.1208915200004</v>
      </c>
      <c r="H168" s="236">
        <v>5093.6202170976003</v>
      </c>
      <c r="I168" s="236">
        <v>5194.9833093504003</v>
      </c>
      <c r="J168" s="236">
        <v>5144.5564192685761</v>
      </c>
      <c r="K168" s="236">
        <v>5298.8829755374081</v>
      </c>
      <c r="L168" s="15"/>
      <c r="M168" s="15"/>
      <c r="N168" s="15"/>
      <c r="O168" s="15"/>
      <c r="P168" s="15"/>
      <c r="Q168" s="15"/>
      <c r="R168" s="15"/>
      <c r="S168" s="15"/>
    </row>
    <row r="169" spans="1:19" s="16" customFormat="1" x14ac:dyDescent="0.2">
      <c r="A169" s="41"/>
      <c r="B169" s="42" t="s">
        <v>36</v>
      </c>
      <c r="C169" s="235"/>
      <c r="D169" s="236">
        <f>D168/C168*100</f>
        <v>102</v>
      </c>
      <c r="E169" s="236">
        <f>E168/D168*100</f>
        <v>101</v>
      </c>
      <c r="F169" s="236">
        <f>F168/E168*100</f>
        <v>101</v>
      </c>
      <c r="G169" s="236">
        <f>G168/E168*100</f>
        <v>102</v>
      </c>
      <c r="H169" s="236">
        <f>H168/F168*100</f>
        <v>101</v>
      </c>
      <c r="I169" s="236">
        <f>I168/G168*100</f>
        <v>102</v>
      </c>
      <c r="J169" s="236">
        <f>J168/H168*100</f>
        <v>101</v>
      </c>
      <c r="K169" s="236">
        <f>K168/I168*100</f>
        <v>102</v>
      </c>
      <c r="L169" s="15"/>
      <c r="M169" s="15"/>
      <c r="N169" s="15"/>
      <c r="O169" s="15"/>
      <c r="P169" s="15"/>
      <c r="Q169" s="15"/>
      <c r="R169" s="15"/>
      <c r="S169" s="15"/>
    </row>
    <row r="170" spans="1:19" x14ac:dyDescent="0.2">
      <c r="A170" s="40" t="s">
        <v>79</v>
      </c>
      <c r="B170" s="46" t="s">
        <v>32</v>
      </c>
      <c r="C170" s="257">
        <v>1461.6</v>
      </c>
      <c r="D170" s="362">
        <v>1493.0329152000002</v>
      </c>
      <c r="E170" s="362">
        <v>1507.9632443519999</v>
      </c>
      <c r="F170" s="362">
        <v>1523.04287679552</v>
      </c>
      <c r="G170" s="362">
        <v>1538.12250923904</v>
      </c>
      <c r="H170" s="362">
        <v>1538.2733055634753</v>
      </c>
      <c r="I170" s="362">
        <v>1568.8849594238209</v>
      </c>
      <c r="J170" s="362">
        <v>1553.6560386191099</v>
      </c>
      <c r="K170" s="362">
        <v>1600.2626586122972</v>
      </c>
    </row>
    <row r="171" spans="1:19" x14ac:dyDescent="0.2">
      <c r="A171" s="41"/>
      <c r="B171" s="42" t="s">
        <v>36</v>
      </c>
      <c r="C171" s="43"/>
      <c r="D171" s="362">
        <f>D170/C170*100</f>
        <v>102.15058259441709</v>
      </c>
      <c r="E171" s="362">
        <f t="shared" ref="E171:F171" si="4">E170/D170*100</f>
        <v>100.99999999999997</v>
      </c>
      <c r="F171" s="362">
        <f t="shared" si="4"/>
        <v>101</v>
      </c>
      <c r="G171" s="362">
        <f>G170/E170*100</f>
        <v>102</v>
      </c>
      <c r="H171" s="362">
        <f>H170/F170*100</f>
        <v>101</v>
      </c>
      <c r="I171" s="362">
        <f>I170/G170*100</f>
        <v>102</v>
      </c>
      <c r="J171" s="362">
        <f>J170/H170*100</f>
        <v>101</v>
      </c>
      <c r="K171" s="362">
        <f>K170/I170*100</f>
        <v>102</v>
      </c>
    </row>
    <row r="172" spans="1:19" x14ac:dyDescent="0.2">
      <c r="A172" s="53" t="s">
        <v>27</v>
      </c>
      <c r="B172" s="42"/>
      <c r="C172" s="43"/>
      <c r="D172" s="44"/>
      <c r="E172" s="44"/>
      <c r="F172" s="44"/>
      <c r="G172" s="44"/>
      <c r="H172" s="44"/>
      <c r="I172" s="44"/>
      <c r="J172" s="56"/>
      <c r="K172" s="56"/>
    </row>
    <row r="173" spans="1:19" ht="36" x14ac:dyDescent="0.2">
      <c r="A173" s="41" t="s">
        <v>82</v>
      </c>
      <c r="B173" s="42" t="s">
        <v>2</v>
      </c>
      <c r="C173" s="238">
        <f>414-1054.3</f>
        <v>-640.29999999999995</v>
      </c>
      <c r="D173" s="238">
        <v>-540.29999999999995</v>
      </c>
      <c r="E173" s="238">
        <v>-440.29999999999995</v>
      </c>
      <c r="F173" s="238">
        <v>-390.29999999999995</v>
      </c>
      <c r="G173" s="238">
        <v>-340.29999999999995</v>
      </c>
      <c r="H173" s="238">
        <v>-290.29999999999995</v>
      </c>
      <c r="I173" s="238">
        <v>-240.29999999999995</v>
      </c>
      <c r="J173" s="238">
        <v>-190.29999999999995</v>
      </c>
      <c r="K173" s="238">
        <v>-140.29999999999995</v>
      </c>
    </row>
    <row r="174" spans="1:19" s="2" customFormat="1" ht="24" x14ac:dyDescent="0.2">
      <c r="A174" s="41" t="s">
        <v>53</v>
      </c>
      <c r="B174" s="42" t="s">
        <v>2</v>
      </c>
      <c r="C174" s="238">
        <v>416.9</v>
      </c>
      <c r="D174" s="238">
        <v>577.85900000000004</v>
      </c>
      <c r="E174" s="238">
        <v>606.75195000000008</v>
      </c>
      <c r="F174" s="238">
        <v>587.08954750000009</v>
      </c>
      <c r="G174" s="238">
        <v>637.08954750000009</v>
      </c>
      <c r="H174" s="238">
        <v>618.94402487500008</v>
      </c>
      <c r="I174" s="238">
        <v>668.94402487500008</v>
      </c>
      <c r="J174" s="238">
        <v>652.39122611875007</v>
      </c>
      <c r="K174" s="238">
        <v>702.39122611875007</v>
      </c>
      <c r="L174" s="4"/>
      <c r="M174" s="4"/>
      <c r="N174" s="4"/>
      <c r="O174" s="4"/>
      <c r="P174" s="4"/>
      <c r="Q174" s="4"/>
      <c r="R174" s="4"/>
      <c r="S174" s="4"/>
    </row>
    <row r="175" spans="1:19" s="2" customFormat="1" x14ac:dyDescent="0.2">
      <c r="A175" s="41"/>
      <c r="B175" s="42"/>
      <c r="C175" s="238"/>
      <c r="D175" s="238">
        <f>D174/C174*100</f>
        <v>138.60853921803792</v>
      </c>
      <c r="E175" s="238">
        <f t="shared" ref="E175:F175" si="5">E174/D174*100</f>
        <v>105</v>
      </c>
      <c r="F175" s="238">
        <f t="shared" si="5"/>
        <v>96.75940019640646</v>
      </c>
      <c r="G175" s="238">
        <f>G174/E174*100</f>
        <v>105</v>
      </c>
      <c r="H175" s="238">
        <f>H174/F174*100</f>
        <v>105.42582941744504</v>
      </c>
      <c r="I175" s="238">
        <f>I174/G174*100</f>
        <v>105</v>
      </c>
      <c r="J175" s="238">
        <f>J174/H174*100</f>
        <v>105.40391374656292</v>
      </c>
      <c r="K175" s="238">
        <f>K174/I174*100</f>
        <v>105</v>
      </c>
      <c r="L175" s="4"/>
      <c r="M175" s="4"/>
      <c r="N175" s="4"/>
      <c r="O175" s="4"/>
      <c r="P175" s="4"/>
      <c r="Q175" s="4"/>
      <c r="R175" s="4"/>
      <c r="S175" s="4"/>
    </row>
    <row r="176" spans="1:19" x14ac:dyDescent="0.2">
      <c r="A176" s="41" t="s">
        <v>62</v>
      </c>
      <c r="B176" s="42" t="s">
        <v>3</v>
      </c>
      <c r="C176" s="238">
        <v>83.3</v>
      </c>
      <c r="D176" s="238">
        <v>80</v>
      </c>
      <c r="E176" s="238"/>
      <c r="F176" s="238"/>
      <c r="G176" s="238"/>
      <c r="H176" s="238"/>
      <c r="I176" s="238"/>
      <c r="J176" s="238"/>
      <c r="K176" s="238"/>
    </row>
    <row r="177" spans="1:19" x14ac:dyDescent="0.2">
      <c r="A177" s="53" t="s">
        <v>26</v>
      </c>
      <c r="B177" s="42"/>
      <c r="C177" s="238"/>
      <c r="D177" s="238"/>
      <c r="E177" s="238"/>
      <c r="F177" s="238"/>
      <c r="G177" s="238"/>
      <c r="H177" s="238"/>
      <c r="I177" s="238"/>
      <c r="J177" s="238"/>
      <c r="K177" s="238"/>
    </row>
    <row r="178" spans="1:19" s="267" customFormat="1" ht="24" x14ac:dyDescent="0.2">
      <c r="A178" s="269" t="s">
        <v>152</v>
      </c>
      <c r="B178" s="268" t="s">
        <v>6</v>
      </c>
      <c r="C178" s="239">
        <v>9649</v>
      </c>
      <c r="D178" s="239">
        <v>9417</v>
      </c>
      <c r="E178" s="239">
        <f>D178-100</f>
        <v>9317</v>
      </c>
      <c r="F178" s="239">
        <f>E178+50</f>
        <v>9367</v>
      </c>
      <c r="G178" s="239">
        <f>E178+70</f>
        <v>9387</v>
      </c>
      <c r="H178" s="239">
        <f>F178+50</f>
        <v>9417</v>
      </c>
      <c r="I178" s="239">
        <f>G178+70</f>
        <v>9457</v>
      </c>
      <c r="J178" s="239">
        <f>H178+50</f>
        <v>9467</v>
      </c>
      <c r="K178" s="239">
        <f>I178+70</f>
        <v>9527</v>
      </c>
      <c r="L178" s="266"/>
      <c r="M178" s="266"/>
      <c r="N178" s="266"/>
      <c r="O178" s="266"/>
      <c r="P178" s="266"/>
      <c r="Q178" s="266"/>
      <c r="R178" s="266"/>
      <c r="S178" s="266"/>
    </row>
    <row r="179" spans="1:19" x14ac:dyDescent="0.2">
      <c r="A179" s="41"/>
      <c r="B179" s="42" t="s">
        <v>36</v>
      </c>
      <c r="C179" s="238"/>
      <c r="D179" s="238">
        <f>D178/C178*100</f>
        <v>97.595605762255161</v>
      </c>
      <c r="E179" s="238">
        <f t="shared" ref="E179:F179" si="6">E178/D178*100</f>
        <v>98.938090687055322</v>
      </c>
      <c r="F179" s="238">
        <f t="shared" si="6"/>
        <v>100.53665342921541</v>
      </c>
      <c r="G179" s="238">
        <f>G178/E178*100</f>
        <v>100.75131480090158</v>
      </c>
      <c r="H179" s="238">
        <f>H178/F178*100</f>
        <v>100.53378883313762</v>
      </c>
      <c r="I179" s="238">
        <f>I178/G178*100</f>
        <v>100.74571215510812</v>
      </c>
      <c r="J179" s="238">
        <f>J178/H178*100</f>
        <v>100.53095465647233</v>
      </c>
      <c r="K179" s="238">
        <f>K178/I178*100</f>
        <v>100.740192450037</v>
      </c>
    </row>
    <row r="180" spans="1:19" x14ac:dyDescent="0.2">
      <c r="A180" s="41" t="s">
        <v>94</v>
      </c>
      <c r="B180" s="42" t="s">
        <v>6</v>
      </c>
      <c r="C180" s="239">
        <f>C182+C184</f>
        <v>1844.4</v>
      </c>
      <c r="D180" s="239">
        <f t="shared" ref="D180:K180" si="7">D182+D184</f>
        <v>1833.5</v>
      </c>
      <c r="E180" s="238">
        <f t="shared" si="7"/>
        <v>1810</v>
      </c>
      <c r="F180" s="238">
        <f t="shared" si="7"/>
        <v>1810</v>
      </c>
      <c r="G180" s="238">
        <f t="shared" si="7"/>
        <v>1810</v>
      </c>
      <c r="H180" s="238">
        <f t="shared" si="7"/>
        <v>1810</v>
      </c>
      <c r="I180" s="238">
        <f t="shared" si="7"/>
        <v>1810</v>
      </c>
      <c r="J180" s="238">
        <f t="shared" si="7"/>
        <v>1810</v>
      </c>
      <c r="K180" s="238">
        <f t="shared" si="7"/>
        <v>1810</v>
      </c>
    </row>
    <row r="181" spans="1:19" x14ac:dyDescent="0.2">
      <c r="A181" s="41" t="s">
        <v>96</v>
      </c>
      <c r="B181" s="42"/>
      <c r="C181" s="238"/>
      <c r="D181" s="238"/>
      <c r="E181" s="238"/>
      <c r="F181" s="238"/>
      <c r="G181" s="238"/>
      <c r="H181" s="238"/>
      <c r="I181" s="238"/>
      <c r="J181" s="238"/>
      <c r="K181" s="238"/>
    </row>
    <row r="182" spans="1:19" x14ac:dyDescent="0.2">
      <c r="A182" s="40" t="s">
        <v>95</v>
      </c>
      <c r="B182" s="42" t="s">
        <v>6</v>
      </c>
      <c r="C182" s="259">
        <v>1646.5</v>
      </c>
      <c r="D182" s="259">
        <v>1635.9</v>
      </c>
      <c r="E182" s="256">
        <v>1627</v>
      </c>
      <c r="F182" s="256">
        <v>1627</v>
      </c>
      <c r="G182" s="256">
        <v>1627</v>
      </c>
      <c r="H182" s="256">
        <v>1627</v>
      </c>
      <c r="I182" s="256">
        <v>1627</v>
      </c>
      <c r="J182" s="256">
        <v>1627</v>
      </c>
      <c r="K182" s="256">
        <v>1627</v>
      </c>
    </row>
    <row r="183" spans="1:19" hidden="1" x14ac:dyDescent="0.2">
      <c r="A183" s="40" t="s">
        <v>133</v>
      </c>
      <c r="B183" s="42" t="s">
        <v>6</v>
      </c>
      <c r="C183" s="260"/>
      <c r="D183" s="261"/>
      <c r="E183" s="60"/>
      <c r="F183" s="60"/>
      <c r="G183" s="60"/>
      <c r="H183" s="60"/>
      <c r="I183" s="60"/>
      <c r="J183" s="60"/>
      <c r="K183" s="60"/>
    </row>
    <row r="184" spans="1:19" ht="21.75" customHeight="1" x14ac:dyDescent="0.2">
      <c r="A184" s="40" t="s">
        <v>134</v>
      </c>
      <c r="B184" s="42" t="s">
        <v>6</v>
      </c>
      <c r="C184" s="259">
        <v>197.9</v>
      </c>
      <c r="D184" s="259">
        <v>197.6</v>
      </c>
      <c r="E184" s="256">
        <v>183</v>
      </c>
      <c r="F184" s="256">
        <v>183</v>
      </c>
      <c r="G184" s="256">
        <v>183</v>
      </c>
      <c r="H184" s="256">
        <v>183</v>
      </c>
      <c r="I184" s="256">
        <v>183</v>
      </c>
      <c r="J184" s="256">
        <v>183</v>
      </c>
      <c r="K184" s="256">
        <v>183</v>
      </c>
    </row>
    <row r="185" spans="1:19" x14ac:dyDescent="0.2">
      <c r="A185" s="41"/>
      <c r="B185" s="42"/>
      <c r="C185" s="59"/>
      <c r="D185" s="60"/>
      <c r="E185" s="60"/>
      <c r="F185" s="60"/>
      <c r="G185" s="60"/>
      <c r="H185" s="60"/>
      <c r="I185" s="60"/>
      <c r="J185" s="60"/>
      <c r="K185" s="60"/>
    </row>
    <row r="186" spans="1:19" x14ac:dyDescent="0.2">
      <c r="A186" s="55" t="s">
        <v>81</v>
      </c>
      <c r="B186" s="42" t="s">
        <v>7</v>
      </c>
      <c r="C186" s="238">
        <v>62031.4</v>
      </c>
      <c r="D186" s="238">
        <f t="shared" ref="D186:K186" si="8">((D192/D178/12)*1000000)</f>
        <v>71844.291352518485</v>
      </c>
      <c r="E186" s="239">
        <f t="shared" si="8"/>
        <v>78024.93649601088</v>
      </c>
      <c r="F186" s="239">
        <f t="shared" si="8"/>
        <v>83817.301875378107</v>
      </c>
      <c r="G186" s="239">
        <f t="shared" si="8"/>
        <v>85187.848442882008</v>
      </c>
      <c r="H186" s="239">
        <f t="shared" si="8"/>
        <v>90041.945417861309</v>
      </c>
      <c r="I186" s="239">
        <f t="shared" si="8"/>
        <v>93013.111980543516</v>
      </c>
      <c r="J186" s="239">
        <f t="shared" si="8"/>
        <v>96731.629167987048</v>
      </c>
      <c r="K186" s="239">
        <f t="shared" si="8"/>
        <v>101563.10136104406</v>
      </c>
    </row>
    <row r="187" spans="1:19" x14ac:dyDescent="0.2">
      <c r="A187" s="55"/>
      <c r="B187" s="42" t="s">
        <v>36</v>
      </c>
      <c r="C187" s="59"/>
      <c r="D187" s="238">
        <f>D186/C186*100</f>
        <v>115.81923244118057</v>
      </c>
      <c r="E187" s="238">
        <f t="shared" ref="E187" si="9">E186/D186*100</f>
        <v>108.60283402778074</v>
      </c>
      <c r="F187" s="238">
        <f t="shared" ref="F187" si="10">F186/E186*100</f>
        <v>107.42373610219262</v>
      </c>
      <c r="G187" s="238">
        <f>G186/E186*100</f>
        <v>109.18028551966503</v>
      </c>
      <c r="H187" s="238">
        <f>H186/F186*100</f>
        <v>107.42644227767934</v>
      </c>
      <c r="I187" s="238">
        <f>I186/G186*100</f>
        <v>109.18589174476956</v>
      </c>
      <c r="J187" s="238">
        <f>J186/H186*100</f>
        <v>107.42951934132547</v>
      </c>
      <c r="K187" s="238">
        <f>K186/I186*100</f>
        <v>109.19224096306877</v>
      </c>
    </row>
    <row r="188" spans="1:19" x14ac:dyDescent="0.2">
      <c r="A188" s="41" t="s">
        <v>97</v>
      </c>
      <c r="B188" s="42"/>
      <c r="C188" s="59"/>
      <c r="D188" s="60"/>
      <c r="E188" s="60"/>
      <c r="F188" s="60"/>
      <c r="G188" s="60"/>
      <c r="H188" s="60"/>
      <c r="I188" s="60"/>
      <c r="J188" s="60"/>
      <c r="K188" s="60"/>
    </row>
    <row r="189" spans="1:19" x14ac:dyDescent="0.2">
      <c r="A189" s="40" t="s">
        <v>95</v>
      </c>
      <c r="B189" s="42" t="s">
        <v>7</v>
      </c>
      <c r="C189" s="238">
        <f t="shared" ref="C189:K189" si="11">((C197/C182/12)*1000000)</f>
        <v>49458.4472112562</v>
      </c>
      <c r="D189" s="238">
        <f t="shared" si="11"/>
        <v>56202.498115206712</v>
      </c>
      <c r="E189" s="238">
        <f t="shared" si="11"/>
        <v>61124.769514443768</v>
      </c>
      <c r="F189" s="238">
        <f t="shared" si="11"/>
        <v>63567.91641057159</v>
      </c>
      <c r="G189" s="238">
        <f t="shared" si="11"/>
        <v>63567.91641057159</v>
      </c>
      <c r="H189" s="238">
        <f t="shared" si="11"/>
        <v>66108.379430444576</v>
      </c>
      <c r="I189" s="238">
        <f t="shared" si="11"/>
        <v>66108.379430444576</v>
      </c>
      <c r="J189" s="238">
        <f t="shared" si="11"/>
        <v>68751.280475312436</v>
      </c>
      <c r="K189" s="238">
        <f t="shared" si="11"/>
        <v>68751.280475312436</v>
      </c>
    </row>
    <row r="190" spans="1:19" hidden="1" x14ac:dyDescent="0.2">
      <c r="A190" s="40" t="s">
        <v>133</v>
      </c>
      <c r="B190" s="42" t="s">
        <v>7</v>
      </c>
      <c r="C190" s="238"/>
      <c r="D190" s="238"/>
      <c r="E190" s="238"/>
      <c r="F190" s="238"/>
      <c r="G190" s="238"/>
      <c r="H190" s="238"/>
      <c r="I190" s="238"/>
      <c r="J190" s="238"/>
      <c r="K190" s="238"/>
    </row>
    <row r="191" spans="1:19" ht="23.25" customHeight="1" x14ac:dyDescent="0.2">
      <c r="A191" s="40" t="s">
        <v>134</v>
      </c>
      <c r="B191" s="42" t="s">
        <v>7</v>
      </c>
      <c r="C191" s="238">
        <f t="shared" ref="C191:K191" si="12">((C199/C184/12)*1000000)</f>
        <v>58068.047835607205</v>
      </c>
      <c r="D191" s="238">
        <f t="shared" si="12"/>
        <v>63680.836707152492</v>
      </c>
      <c r="E191" s="238">
        <f t="shared" si="12"/>
        <v>64025.500910746821</v>
      </c>
      <c r="F191" s="238">
        <f t="shared" si="12"/>
        <v>66666.666666666672</v>
      </c>
      <c r="G191" s="238">
        <f t="shared" si="12"/>
        <v>66666.666666666672</v>
      </c>
      <c r="H191" s="238">
        <f t="shared" si="12"/>
        <v>69444.444444444453</v>
      </c>
      <c r="I191" s="238">
        <f t="shared" si="12"/>
        <v>69444.444444444453</v>
      </c>
      <c r="J191" s="238">
        <f t="shared" si="12"/>
        <v>72267.759562841529</v>
      </c>
      <c r="K191" s="238">
        <f t="shared" si="12"/>
        <v>72267.759562841529</v>
      </c>
    </row>
    <row r="192" spans="1:19" s="267" customFormat="1" ht="24" x14ac:dyDescent="0.2">
      <c r="A192" s="269" t="s">
        <v>151</v>
      </c>
      <c r="B192" s="268" t="s">
        <v>2</v>
      </c>
      <c r="C192" s="265">
        <f>(C178*C186)*12/1000000</f>
        <v>7182.4917432000011</v>
      </c>
      <c r="D192" s="238">
        <f>8118692.3/1000</f>
        <v>8118.6922999999997</v>
      </c>
      <c r="E192" s="238">
        <v>8723.5</v>
      </c>
      <c r="F192" s="270">
        <v>9421.4</v>
      </c>
      <c r="G192" s="270">
        <v>9595.9</v>
      </c>
      <c r="H192" s="270">
        <v>10175.1</v>
      </c>
      <c r="I192" s="270">
        <v>10555.5</v>
      </c>
      <c r="J192" s="270">
        <v>10989.1</v>
      </c>
      <c r="K192" s="270">
        <v>11611.1</v>
      </c>
      <c r="L192" s="266"/>
      <c r="M192" s="266"/>
      <c r="N192" s="266"/>
      <c r="O192" s="266"/>
      <c r="P192" s="266"/>
      <c r="Q192" s="266"/>
      <c r="R192" s="266"/>
      <c r="S192" s="266"/>
    </row>
    <row r="193" spans="1:19" x14ac:dyDescent="0.2">
      <c r="A193" s="41"/>
      <c r="B193" s="42" t="s">
        <v>36</v>
      </c>
      <c r="C193" s="59"/>
      <c r="D193" s="238">
        <f>D192/C192*100</f>
        <v>113.03448149016451</v>
      </c>
      <c r="E193" s="238">
        <f t="shared" ref="E193" si="13">E192/D192*100</f>
        <v>107.44957041911786</v>
      </c>
      <c r="F193" s="238">
        <f t="shared" ref="F193" si="14">F192/E192*100</f>
        <v>108.00022926577635</v>
      </c>
      <c r="G193" s="238">
        <f>G192/E192*100</f>
        <v>110.00057316444088</v>
      </c>
      <c r="H193" s="238">
        <f>H192/F192*100</f>
        <v>107.99987263039463</v>
      </c>
      <c r="I193" s="238">
        <f>I192/G192*100</f>
        <v>110.00010421117352</v>
      </c>
      <c r="J193" s="238">
        <f>J192/H192*100</f>
        <v>107.99992137669409</v>
      </c>
      <c r="K193" s="238">
        <f>K192/I192*100</f>
        <v>110.00047368670363</v>
      </c>
    </row>
    <row r="194" spans="1:19" x14ac:dyDescent="0.2">
      <c r="A194" s="41" t="s">
        <v>96</v>
      </c>
      <c r="B194" s="42"/>
      <c r="C194" s="59"/>
      <c r="D194" s="239"/>
      <c r="E194" s="239"/>
      <c r="F194" s="239"/>
      <c r="G194" s="239"/>
      <c r="H194" s="239"/>
      <c r="I194" s="239"/>
      <c r="J194" s="239"/>
      <c r="K194" s="239"/>
    </row>
    <row r="195" spans="1:19" ht="24" x14ac:dyDescent="0.2">
      <c r="A195" s="41" t="s">
        <v>98</v>
      </c>
      <c r="B195" s="42" t="s">
        <v>2</v>
      </c>
      <c r="C195" s="240">
        <f>C197+C199</f>
        <v>1115.1000000000001</v>
      </c>
      <c r="D195" s="240">
        <f t="shared" ref="D195:K195" si="15">D197+D199</f>
        <v>1254.3</v>
      </c>
      <c r="E195" s="240">
        <f t="shared" si="15"/>
        <v>1334</v>
      </c>
      <c r="F195" s="240">
        <f t="shared" si="15"/>
        <v>1387.5</v>
      </c>
      <c r="G195" s="240">
        <f t="shared" si="15"/>
        <v>1387.5</v>
      </c>
      <c r="H195" s="240">
        <f t="shared" si="15"/>
        <v>1443.2</v>
      </c>
      <c r="I195" s="240">
        <f t="shared" si="15"/>
        <v>1443.2</v>
      </c>
      <c r="J195" s="240">
        <f t="shared" si="15"/>
        <v>1501</v>
      </c>
      <c r="K195" s="240">
        <f t="shared" si="15"/>
        <v>1501</v>
      </c>
    </row>
    <row r="196" spans="1:19" x14ac:dyDescent="0.2">
      <c r="A196" s="41" t="s">
        <v>96</v>
      </c>
      <c r="B196" s="42"/>
      <c r="C196" s="240"/>
      <c r="D196" s="240"/>
      <c r="E196" s="240"/>
      <c r="F196" s="240"/>
      <c r="G196" s="240"/>
      <c r="H196" s="240"/>
      <c r="I196" s="240"/>
      <c r="J196" s="240"/>
      <c r="K196" s="240"/>
    </row>
    <row r="197" spans="1:19" x14ac:dyDescent="0.2">
      <c r="A197" s="40" t="s">
        <v>95</v>
      </c>
      <c r="B197" s="42" t="s">
        <v>2</v>
      </c>
      <c r="C197" s="257">
        <v>977.2</v>
      </c>
      <c r="D197" s="258">
        <v>1103.3</v>
      </c>
      <c r="E197" s="257">
        <v>1193.4000000000001</v>
      </c>
      <c r="F197" s="257">
        <v>1241.0999999999999</v>
      </c>
      <c r="G197" s="257">
        <v>1241.0999999999999</v>
      </c>
      <c r="H197" s="257">
        <v>1290.7</v>
      </c>
      <c r="I197" s="257">
        <v>1290.7</v>
      </c>
      <c r="J197" s="257">
        <v>1342.3</v>
      </c>
      <c r="K197" s="257">
        <v>1342.3</v>
      </c>
    </row>
    <row r="198" spans="1:19" ht="12.75" hidden="1" customHeight="1" x14ac:dyDescent="0.2">
      <c r="A198" s="40" t="s">
        <v>133</v>
      </c>
      <c r="B198" s="42" t="s">
        <v>2</v>
      </c>
      <c r="C198" s="257">
        <v>137.9</v>
      </c>
      <c r="D198" s="258"/>
      <c r="E198" s="257"/>
      <c r="F198" s="257"/>
      <c r="G198" s="257"/>
      <c r="H198" s="257"/>
      <c r="I198" s="257"/>
      <c r="J198" s="257"/>
      <c r="K198" s="257"/>
    </row>
    <row r="199" spans="1:19" ht="21.75" customHeight="1" x14ac:dyDescent="0.2">
      <c r="A199" s="40" t="s">
        <v>134</v>
      </c>
      <c r="B199" s="42" t="s">
        <v>2</v>
      </c>
      <c r="C199" s="257">
        <v>137.9</v>
      </c>
      <c r="D199" s="258">
        <v>151</v>
      </c>
      <c r="E199" s="257">
        <v>140.60000000000002</v>
      </c>
      <c r="F199" s="257">
        <v>146.4</v>
      </c>
      <c r="G199" s="257">
        <v>146.4</v>
      </c>
      <c r="H199" s="257">
        <v>152.5</v>
      </c>
      <c r="I199" s="257">
        <v>152.5</v>
      </c>
      <c r="J199" s="257">
        <v>158.69999999999999</v>
      </c>
      <c r="K199" s="257">
        <v>158.69999999999999</v>
      </c>
    </row>
    <row r="200" spans="1:19" s="294" customFormat="1" x14ac:dyDescent="0.2">
      <c r="A200" s="297" t="s">
        <v>14</v>
      </c>
      <c r="B200" s="268" t="s">
        <v>2</v>
      </c>
      <c r="C200" s="257">
        <v>85.4</v>
      </c>
      <c r="D200" s="257">
        <v>77.8</v>
      </c>
      <c r="E200" s="257">
        <v>78.578000000000003</v>
      </c>
      <c r="F200" s="257">
        <v>79.363780000000006</v>
      </c>
      <c r="G200" s="257">
        <v>80.149560000000008</v>
      </c>
      <c r="H200" s="257">
        <v>80.157417800000005</v>
      </c>
      <c r="I200" s="257">
        <v>81.752551200000013</v>
      </c>
      <c r="J200" s="257">
        <v>80.958991978</v>
      </c>
      <c r="K200" s="257">
        <v>83.38760222400002</v>
      </c>
      <c r="L200" s="293"/>
      <c r="M200" s="293"/>
      <c r="N200" s="293"/>
      <c r="O200" s="293"/>
      <c r="P200" s="293"/>
      <c r="Q200" s="293"/>
      <c r="R200" s="293"/>
      <c r="S200" s="293"/>
    </row>
    <row r="201" spans="1:19" s="294" customFormat="1" x14ac:dyDescent="0.2">
      <c r="A201" s="297"/>
      <c r="B201" s="268" t="s">
        <v>36</v>
      </c>
      <c r="C201" s="257"/>
      <c r="D201" s="257">
        <f>D200/C200*100</f>
        <v>91.100702576112397</v>
      </c>
      <c r="E201" s="257">
        <f>E200/D200*100</f>
        <v>101</v>
      </c>
      <c r="F201" s="257">
        <f>F200/E200*100</f>
        <v>101</v>
      </c>
      <c r="G201" s="257">
        <f>G200/E200*100</f>
        <v>102</v>
      </c>
      <c r="H201" s="257">
        <f>H200/F200*100</f>
        <v>101</v>
      </c>
      <c r="I201" s="257">
        <f>I200/G200*100</f>
        <v>102</v>
      </c>
      <c r="J201" s="257">
        <f>J200/H200*100</f>
        <v>101</v>
      </c>
      <c r="K201" s="257">
        <f>K200/I200*100</f>
        <v>102</v>
      </c>
      <c r="L201" s="293"/>
      <c r="M201" s="293"/>
      <c r="N201" s="293"/>
      <c r="O201" s="293"/>
      <c r="P201" s="293"/>
      <c r="Q201" s="293"/>
      <c r="R201" s="293"/>
      <c r="S201" s="293"/>
    </row>
    <row r="202" spans="1:19" x14ac:dyDescent="0.2">
      <c r="B202" s="242"/>
      <c r="C202" s="59"/>
      <c r="D202" s="60"/>
      <c r="E202" s="60"/>
      <c r="F202" s="60"/>
      <c r="G202" s="60"/>
      <c r="H202" s="60"/>
      <c r="I202" s="60"/>
      <c r="J202" s="60"/>
      <c r="K202" s="60"/>
    </row>
    <row r="203" spans="1:19" x14ac:dyDescent="0.2">
      <c r="A203" s="45" t="s">
        <v>60</v>
      </c>
      <c r="B203" s="42" t="s">
        <v>6</v>
      </c>
      <c r="C203" s="241">
        <v>436</v>
      </c>
      <c r="D203" s="241">
        <v>289</v>
      </c>
      <c r="E203" s="241">
        <v>300</v>
      </c>
      <c r="F203" s="241">
        <v>320</v>
      </c>
      <c r="G203" s="241">
        <v>300</v>
      </c>
      <c r="H203" s="241">
        <v>300</v>
      </c>
      <c r="I203" s="241">
        <v>290</v>
      </c>
      <c r="J203" s="241">
        <v>300</v>
      </c>
      <c r="K203" s="241">
        <v>290</v>
      </c>
    </row>
    <row r="204" spans="1:19" ht="24" x14ac:dyDescent="0.2">
      <c r="A204" s="41" t="s">
        <v>90</v>
      </c>
      <c r="B204" s="42" t="s">
        <v>91</v>
      </c>
      <c r="C204" s="240">
        <v>1.7485462201724484</v>
      </c>
      <c r="D204" s="240">
        <v>1.1720809506428196</v>
      </c>
      <c r="E204" s="240">
        <v>1.2289828569181287</v>
      </c>
      <c r="F204" s="240">
        <v>1.3241566135144822</v>
      </c>
      <c r="G204" s="240">
        <v>1.2413968251698271</v>
      </c>
      <c r="H204" s="240">
        <v>1.2539361870402295</v>
      </c>
      <c r="I204" s="240">
        <v>1.2121383141388884</v>
      </c>
      <c r="J204" s="240">
        <v>1.266602209131545</v>
      </c>
      <c r="K204" s="240">
        <v>1.2243821354938267</v>
      </c>
    </row>
    <row r="205" spans="1:19" s="365" customFormat="1" ht="36" x14ac:dyDescent="0.2">
      <c r="A205" s="366" t="s">
        <v>61</v>
      </c>
      <c r="B205" s="363" t="s">
        <v>6</v>
      </c>
      <c r="C205" s="370">
        <v>2.7</v>
      </c>
      <c r="D205" s="370">
        <v>0.3</v>
      </c>
      <c r="E205" s="370">
        <v>0.3</v>
      </c>
      <c r="F205" s="370">
        <v>0.3</v>
      </c>
      <c r="G205" s="370">
        <v>0.3</v>
      </c>
      <c r="H205" s="370">
        <v>0.3</v>
      </c>
      <c r="I205" s="370">
        <v>0.3</v>
      </c>
      <c r="J205" s="370">
        <v>0.3</v>
      </c>
      <c r="K205" s="370">
        <v>0.3</v>
      </c>
      <c r="L205" s="364"/>
      <c r="M205" s="364"/>
      <c r="N205" s="364"/>
      <c r="O205" s="364"/>
      <c r="P205" s="364"/>
      <c r="Q205" s="364"/>
      <c r="R205" s="364"/>
      <c r="S205" s="364"/>
    </row>
  </sheetData>
  <mergeCells count="12">
    <mergeCell ref="A1:K1"/>
    <mergeCell ref="C3:D3"/>
    <mergeCell ref="A2:K2"/>
    <mergeCell ref="F3:K3"/>
    <mergeCell ref="H4:I4"/>
    <mergeCell ref="J4:K4"/>
    <mergeCell ref="B3:B5"/>
    <mergeCell ref="A3:A5"/>
    <mergeCell ref="C4:C5"/>
    <mergeCell ref="D4:D5"/>
    <mergeCell ref="E4:E5"/>
    <mergeCell ref="F4:G4"/>
  </mergeCells>
  <phoneticPr fontId="0" type="noConversion"/>
  <pageMargins left="0.23622047244094491" right="0.23622047244094491" top="0.74803149606299213" bottom="0.55118110236220474" header="0.31496062992125984" footer="0.31496062992125984"/>
  <pageSetup paperSize="9" scale="81" fitToHeight="0" orientation="landscape" horizontalDpi="300" verticalDpi="300" r:id="rId1"/>
  <headerFooter alignWithMargins="0">
    <oddHeader>&amp;C&amp;P</oddHeader>
  </headerFooter>
  <rowBreaks count="2" manualBreakCount="2">
    <brk id="163" max="10" man="1"/>
    <brk id="19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topLeftCell="A76" workbookViewId="0">
      <selection activeCell="A7" sqref="A7:XFD7"/>
    </sheetView>
  </sheetViews>
  <sheetFormatPr defaultColWidth="8.85546875" defaultRowHeight="15" x14ac:dyDescent="0.25"/>
  <cols>
    <col min="1" max="1" width="90.5703125" style="72" customWidth="1"/>
    <col min="2" max="6" width="12.7109375" style="72" customWidth="1"/>
    <col min="7" max="16384" width="8.85546875" style="72"/>
  </cols>
  <sheetData>
    <row r="1" spans="1:6" x14ac:dyDescent="0.25">
      <c r="A1" s="452" t="s">
        <v>161</v>
      </c>
      <c r="B1" s="453"/>
      <c r="C1" s="453"/>
      <c r="D1" s="453"/>
      <c r="E1" s="453"/>
      <c r="F1" s="453"/>
    </row>
    <row r="2" spans="1:6" ht="45" customHeight="1" x14ac:dyDescent="0.25">
      <c r="A2" s="453"/>
      <c r="B2" s="453"/>
      <c r="C2" s="453"/>
      <c r="D2" s="453"/>
      <c r="E2" s="453"/>
      <c r="F2" s="453"/>
    </row>
    <row r="3" spans="1:6" ht="52.5" customHeight="1" x14ac:dyDescent="0.25">
      <c r="A3" s="454" t="s">
        <v>162</v>
      </c>
      <c r="B3" s="454"/>
      <c r="C3" s="454"/>
      <c r="D3" s="454"/>
      <c r="E3" s="454"/>
      <c r="F3" s="454"/>
    </row>
    <row r="4" spans="1:6" s="73" customFormat="1" ht="19.5" customHeight="1" thickBot="1" x14ac:dyDescent="0.35">
      <c r="A4" s="455" t="s">
        <v>163</v>
      </c>
      <c r="B4" s="455"/>
      <c r="C4" s="455"/>
      <c r="D4" s="455"/>
      <c r="E4" s="455"/>
      <c r="F4" s="455"/>
    </row>
    <row r="5" spans="1:6" ht="19.5" customHeight="1" x14ac:dyDescent="0.25">
      <c r="A5" s="456"/>
      <c r="B5" s="74">
        <v>2024</v>
      </c>
      <c r="C5" s="75">
        <f>B5+1</f>
        <v>2025</v>
      </c>
      <c r="D5" s="75">
        <f t="shared" ref="D5:E5" si="0">C5+1</f>
        <v>2026</v>
      </c>
      <c r="E5" s="75">
        <f t="shared" si="0"/>
        <v>2027</v>
      </c>
      <c r="F5" s="76">
        <f>E5+1</f>
        <v>2028</v>
      </c>
    </row>
    <row r="6" spans="1:6" ht="19.5" customHeight="1" thickBot="1" x14ac:dyDescent="0.3">
      <c r="A6" s="457"/>
      <c r="B6" s="77" t="s">
        <v>164</v>
      </c>
      <c r="C6" s="78" t="s">
        <v>165</v>
      </c>
      <c r="D6" s="458" t="s">
        <v>166</v>
      </c>
      <c r="E6" s="458"/>
      <c r="F6" s="459"/>
    </row>
    <row r="7" spans="1:6" ht="15.75" customHeight="1" x14ac:dyDescent="0.25">
      <c r="A7" s="79" t="s">
        <v>167</v>
      </c>
      <c r="B7" s="80"/>
      <c r="C7" s="81"/>
      <c r="D7" s="81"/>
      <c r="E7" s="81"/>
      <c r="F7" s="82"/>
    </row>
    <row r="8" spans="1:6" ht="20.100000000000001" customHeight="1" x14ac:dyDescent="0.25">
      <c r="A8" s="83" t="s">
        <v>168</v>
      </c>
      <c r="B8" s="84">
        <v>110.94</v>
      </c>
      <c r="C8" s="85">
        <v>106.13</v>
      </c>
      <c r="D8" s="85">
        <v>105.28</v>
      </c>
      <c r="E8" s="85">
        <v>104.75</v>
      </c>
      <c r="F8" s="86">
        <v>104.2</v>
      </c>
    </row>
    <row r="9" spans="1:6" ht="20.100000000000001" customHeight="1" x14ac:dyDescent="0.25">
      <c r="A9" s="87" t="s">
        <v>169</v>
      </c>
      <c r="B9" s="88">
        <v>112.07</v>
      </c>
      <c r="C9" s="89">
        <v>106.57</v>
      </c>
      <c r="D9" s="89">
        <v>105.39</v>
      </c>
      <c r="E9" s="89">
        <v>104.98</v>
      </c>
      <c r="F9" s="90">
        <v>104.33</v>
      </c>
    </row>
    <row r="10" spans="1:6" ht="20.100000000000001" customHeight="1" x14ac:dyDescent="0.25">
      <c r="A10" s="91" t="s">
        <v>170</v>
      </c>
      <c r="B10" s="88">
        <v>110.43</v>
      </c>
      <c r="C10" s="89">
        <v>107.56</v>
      </c>
      <c r="D10" s="89">
        <v>104.55</v>
      </c>
      <c r="E10" s="89">
        <v>104.48</v>
      </c>
      <c r="F10" s="90">
        <v>104.16</v>
      </c>
    </row>
    <row r="11" spans="1:6" ht="20.100000000000001" customHeight="1" x14ac:dyDescent="0.25">
      <c r="A11" s="92" t="s">
        <v>171</v>
      </c>
      <c r="B11" s="93"/>
      <c r="C11" s="94"/>
      <c r="D11" s="94"/>
      <c r="E11" s="94"/>
      <c r="F11" s="95"/>
    </row>
    <row r="12" spans="1:6" ht="20.100000000000001" customHeight="1" x14ac:dyDescent="0.25">
      <c r="A12" s="83" t="s">
        <v>168</v>
      </c>
      <c r="B12" s="84">
        <v>116.88</v>
      </c>
      <c r="C12" s="85">
        <v>104.78</v>
      </c>
      <c r="D12" s="85">
        <v>104.76</v>
      </c>
      <c r="E12" s="85">
        <v>104.31</v>
      </c>
      <c r="F12" s="86">
        <v>104.16</v>
      </c>
    </row>
    <row r="13" spans="1:6" s="97" customFormat="1" ht="20.100000000000001" customHeight="1" x14ac:dyDescent="0.25">
      <c r="A13" s="96" t="s">
        <v>169</v>
      </c>
      <c r="B13" s="88">
        <v>117.68</v>
      </c>
      <c r="C13" s="89">
        <v>105.41</v>
      </c>
      <c r="D13" s="89">
        <v>104.81</v>
      </c>
      <c r="E13" s="89">
        <v>104.62</v>
      </c>
      <c r="F13" s="90">
        <v>104.47</v>
      </c>
    </row>
    <row r="14" spans="1:6" ht="20.100000000000001" customHeight="1" x14ac:dyDescent="0.25">
      <c r="A14" s="92" t="s">
        <v>172</v>
      </c>
      <c r="B14" s="93"/>
      <c r="C14" s="94"/>
      <c r="D14" s="94"/>
      <c r="E14" s="94"/>
      <c r="F14" s="95"/>
    </row>
    <row r="15" spans="1:6" ht="20.100000000000001" customHeight="1" x14ac:dyDescent="0.25">
      <c r="A15" s="83" t="s">
        <v>168</v>
      </c>
      <c r="B15" s="84">
        <v>116</v>
      </c>
      <c r="C15" s="85">
        <v>104.1</v>
      </c>
      <c r="D15" s="85">
        <v>104.76</v>
      </c>
      <c r="E15" s="85">
        <v>104.27</v>
      </c>
      <c r="F15" s="86">
        <v>104.17</v>
      </c>
    </row>
    <row r="16" spans="1:6" s="97" customFormat="1" ht="20.100000000000001" customHeight="1" x14ac:dyDescent="0.25">
      <c r="A16" s="98" t="s">
        <v>169</v>
      </c>
      <c r="B16" s="88">
        <v>117.51</v>
      </c>
      <c r="C16" s="89">
        <v>104.66</v>
      </c>
      <c r="D16" s="89">
        <v>104.83</v>
      </c>
      <c r="E16" s="89">
        <v>104.58</v>
      </c>
      <c r="F16" s="90">
        <v>104.5</v>
      </c>
    </row>
    <row r="17" spans="1:6" ht="20.100000000000001" customHeight="1" x14ac:dyDescent="0.25">
      <c r="A17" s="92" t="s">
        <v>173</v>
      </c>
      <c r="B17" s="93"/>
      <c r="C17" s="94"/>
      <c r="D17" s="94"/>
      <c r="E17" s="94"/>
      <c r="F17" s="95"/>
    </row>
    <row r="18" spans="1:6" ht="20.100000000000001" customHeight="1" x14ac:dyDescent="0.25">
      <c r="A18" s="83" t="s">
        <v>168</v>
      </c>
      <c r="B18" s="84">
        <v>86.513999999999996</v>
      </c>
      <c r="C18" s="85">
        <v>102.6</v>
      </c>
      <c r="D18" s="85">
        <v>105.41488389512155</v>
      </c>
      <c r="E18" s="85">
        <v>104.10867821852203</v>
      </c>
      <c r="F18" s="86">
        <v>103.61053770363024</v>
      </c>
    </row>
    <row r="19" spans="1:6" ht="20.100000000000001" customHeight="1" x14ac:dyDescent="0.25">
      <c r="A19" s="87" t="s">
        <v>169</v>
      </c>
      <c r="B19" s="88">
        <v>99.654924467510682</v>
      </c>
      <c r="C19" s="89">
        <v>103.64608327979458</v>
      </c>
      <c r="D19" s="89">
        <v>104.79293291565173</v>
      </c>
      <c r="E19" s="89">
        <v>104.22209673763251</v>
      </c>
      <c r="F19" s="90">
        <v>103.93757861513538</v>
      </c>
    </row>
    <row r="20" spans="1:6" ht="20.100000000000001" customHeight="1" x14ac:dyDescent="0.25">
      <c r="A20" s="91" t="s">
        <v>174</v>
      </c>
      <c r="B20" s="88"/>
      <c r="C20" s="89"/>
      <c r="D20" s="89"/>
      <c r="E20" s="89"/>
      <c r="F20" s="90"/>
    </row>
    <row r="21" spans="1:6" ht="20.100000000000001" customHeight="1" x14ac:dyDescent="0.25">
      <c r="A21" s="87" t="s">
        <v>169</v>
      </c>
      <c r="B21" s="88">
        <v>99.564090911751194</v>
      </c>
      <c r="C21" s="99">
        <v>109.84230005720235</v>
      </c>
      <c r="D21" s="99">
        <v>104.10771806629036</v>
      </c>
      <c r="E21" s="99">
        <v>104.02013885982386</v>
      </c>
      <c r="F21" s="100">
        <v>103.99422806860879</v>
      </c>
    </row>
    <row r="22" spans="1:6" ht="20.100000000000001" customHeight="1" x14ac:dyDescent="0.25">
      <c r="A22" s="92" t="s">
        <v>175</v>
      </c>
      <c r="B22" s="93"/>
      <c r="C22" s="94"/>
      <c r="D22" s="94"/>
      <c r="E22" s="94"/>
      <c r="F22" s="95"/>
    </row>
    <row r="23" spans="1:6" ht="20.100000000000001" customHeight="1" x14ac:dyDescent="0.25">
      <c r="A23" s="83" t="s">
        <v>168</v>
      </c>
      <c r="B23" s="84">
        <v>119.12808538745917</v>
      </c>
      <c r="C23" s="85">
        <v>104.21742953260713</v>
      </c>
      <c r="D23" s="85">
        <v>104.7053753276715</v>
      </c>
      <c r="E23" s="85">
        <v>104.28360815924185</v>
      </c>
      <c r="F23" s="86">
        <v>104.21581180283729</v>
      </c>
    </row>
    <row r="24" spans="1:6" s="97" customFormat="1" ht="20.100000000000001" customHeight="1" x14ac:dyDescent="0.25">
      <c r="A24" s="96" t="s">
        <v>169</v>
      </c>
      <c r="B24" s="101">
        <v>118.32519148512411</v>
      </c>
      <c r="C24" s="99">
        <v>104.72691437881628</v>
      </c>
      <c r="D24" s="99">
        <v>104.83020836385961</v>
      </c>
      <c r="E24" s="99">
        <v>104.60532977475032</v>
      </c>
      <c r="F24" s="100">
        <v>104.5291742841961</v>
      </c>
    </row>
    <row r="25" spans="1:6" ht="20.100000000000001" customHeight="1" x14ac:dyDescent="0.25">
      <c r="A25" s="102" t="s">
        <v>176</v>
      </c>
      <c r="B25" s="103"/>
      <c r="C25" s="104"/>
      <c r="D25" s="104"/>
      <c r="E25" s="104"/>
      <c r="F25" s="105"/>
    </row>
    <row r="26" spans="1:6" ht="20.100000000000001" customHeight="1" x14ac:dyDescent="0.25">
      <c r="A26" s="83" t="s">
        <v>168</v>
      </c>
      <c r="B26" s="84">
        <v>121.70180116041655</v>
      </c>
      <c r="C26" s="85">
        <v>109.62419741730847</v>
      </c>
      <c r="D26" s="85">
        <v>104.80833569535734</v>
      </c>
      <c r="E26" s="85">
        <v>104.61589597260257</v>
      </c>
      <c r="F26" s="86">
        <v>104.10243563234752</v>
      </c>
    </row>
    <row r="27" spans="1:6" ht="20.100000000000001" customHeight="1" x14ac:dyDescent="0.25">
      <c r="A27" s="87" t="s">
        <v>169</v>
      </c>
      <c r="B27" s="101">
        <v>119.30998307459176</v>
      </c>
      <c r="C27" s="99">
        <v>111.11029751112613</v>
      </c>
      <c r="D27" s="99">
        <v>104.27455305924312</v>
      </c>
      <c r="E27" s="99">
        <v>104.63640492275528</v>
      </c>
      <c r="F27" s="100">
        <v>104.18161225547999</v>
      </c>
    </row>
    <row r="28" spans="1:6" ht="20.100000000000001" customHeight="1" x14ac:dyDescent="0.25">
      <c r="A28" s="106" t="s">
        <v>177</v>
      </c>
      <c r="B28" s="93"/>
      <c r="C28" s="94"/>
      <c r="D28" s="94"/>
      <c r="E28" s="94"/>
      <c r="F28" s="107"/>
    </row>
    <row r="29" spans="1:6" ht="20.100000000000001" customHeight="1" x14ac:dyDescent="0.25">
      <c r="A29" s="83" t="s">
        <v>168</v>
      </c>
      <c r="B29" s="84">
        <v>131.0102471342866</v>
      </c>
      <c r="C29" s="85">
        <v>110.27143681692546</v>
      </c>
      <c r="D29" s="85">
        <v>104.69790107333891</v>
      </c>
      <c r="E29" s="85">
        <v>104.62296916725184</v>
      </c>
      <c r="F29" s="86">
        <v>104.05813678160484</v>
      </c>
    </row>
    <row r="30" spans="1:6" ht="20.100000000000001" customHeight="1" thickBot="1" x14ac:dyDescent="0.3">
      <c r="A30" s="108" t="s">
        <v>169</v>
      </c>
      <c r="B30" s="109">
        <v>125.71738198750788</v>
      </c>
      <c r="C30" s="110">
        <v>112.27310044514589</v>
      </c>
      <c r="D30" s="110">
        <v>103.94315403208849</v>
      </c>
      <c r="E30" s="110">
        <v>104.59705941069473</v>
      </c>
      <c r="F30" s="111">
        <v>104.12539420920761</v>
      </c>
    </row>
    <row r="31" spans="1:6" ht="20.100000000000001" customHeight="1" x14ac:dyDescent="0.25">
      <c r="A31" s="112" t="s">
        <v>178</v>
      </c>
      <c r="B31" s="113"/>
      <c r="C31" s="114"/>
      <c r="D31" s="114"/>
      <c r="E31" s="114"/>
      <c r="F31" s="115"/>
    </row>
    <row r="32" spans="1:6" ht="20.100000000000001" customHeight="1" x14ac:dyDescent="0.25">
      <c r="A32" s="83" t="s">
        <v>168</v>
      </c>
      <c r="B32" s="84">
        <v>100.21370508749881</v>
      </c>
      <c r="C32" s="85">
        <v>107.68360893618498</v>
      </c>
      <c r="D32" s="85">
        <v>105.13172701084572</v>
      </c>
      <c r="E32" s="85">
        <v>104.59518317728053</v>
      </c>
      <c r="F32" s="86">
        <v>104.23215820806213</v>
      </c>
    </row>
    <row r="33" spans="1:6" ht="20.100000000000001" customHeight="1" x14ac:dyDescent="0.25">
      <c r="A33" s="116" t="s">
        <v>169</v>
      </c>
      <c r="B33" s="101">
        <v>104.28963977514418</v>
      </c>
      <c r="C33" s="99">
        <v>107.70823692513804</v>
      </c>
      <c r="D33" s="99">
        <v>105.30677329702462</v>
      </c>
      <c r="E33" s="99">
        <v>104.7291425967005</v>
      </c>
      <c r="F33" s="100">
        <v>104.30598863362692</v>
      </c>
    </row>
    <row r="34" spans="1:6" ht="20.100000000000001" customHeight="1" x14ac:dyDescent="0.25">
      <c r="A34" s="102" t="s">
        <v>179</v>
      </c>
      <c r="B34" s="117"/>
      <c r="C34" s="118"/>
      <c r="D34" s="118"/>
      <c r="E34" s="118"/>
      <c r="F34" s="105"/>
    </row>
    <row r="35" spans="1:6" ht="20.100000000000001" customHeight="1" x14ac:dyDescent="0.25">
      <c r="A35" s="83" t="s">
        <v>168</v>
      </c>
      <c r="B35" s="84">
        <v>107.88331530035218</v>
      </c>
      <c r="C35" s="85">
        <v>105.99440935676505</v>
      </c>
      <c r="D35" s="85">
        <v>104.78689495258297</v>
      </c>
      <c r="E35" s="85">
        <v>104.4664737606855</v>
      </c>
      <c r="F35" s="86">
        <v>104.15458964588026</v>
      </c>
    </row>
    <row r="36" spans="1:6" ht="20.100000000000001" customHeight="1" x14ac:dyDescent="0.25">
      <c r="A36" s="87" t="s">
        <v>169</v>
      </c>
      <c r="B36" s="101">
        <v>111.22044437607718</v>
      </c>
      <c r="C36" s="99">
        <v>106.27548121305735</v>
      </c>
      <c r="D36" s="99">
        <v>104.7446794894408</v>
      </c>
      <c r="E36" s="99">
        <v>104.53918510209186</v>
      </c>
      <c r="F36" s="100">
        <v>104.22765103593777</v>
      </c>
    </row>
    <row r="37" spans="1:6" ht="30" x14ac:dyDescent="0.25">
      <c r="A37" s="106" t="s">
        <v>180</v>
      </c>
      <c r="B37" s="93"/>
      <c r="C37" s="94"/>
      <c r="D37" s="94"/>
      <c r="E37" s="94"/>
      <c r="F37" s="107"/>
    </row>
    <row r="38" spans="1:6" ht="20.100000000000001" customHeight="1" x14ac:dyDescent="0.25">
      <c r="A38" s="83" t="s">
        <v>168</v>
      </c>
      <c r="B38" s="84">
        <v>111.54176262765768</v>
      </c>
      <c r="C38" s="85">
        <v>109.86902531126275</v>
      </c>
      <c r="D38" s="85">
        <v>104.62107562358969</v>
      </c>
      <c r="E38" s="85">
        <v>104.28452795004081</v>
      </c>
      <c r="F38" s="86">
        <v>104.15279406476839</v>
      </c>
    </row>
    <row r="39" spans="1:6" ht="20.100000000000001" customHeight="1" x14ac:dyDescent="0.25">
      <c r="A39" s="87" t="s">
        <v>169</v>
      </c>
      <c r="B39" s="101">
        <v>109.05155239698952</v>
      </c>
      <c r="C39" s="99">
        <v>110.19399717588414</v>
      </c>
      <c r="D39" s="99">
        <v>104.82604621374061</v>
      </c>
      <c r="E39" s="99">
        <v>104.44156665263806</v>
      </c>
      <c r="F39" s="100">
        <v>104.17593606117596</v>
      </c>
    </row>
    <row r="40" spans="1:6" ht="30" x14ac:dyDescent="0.25">
      <c r="A40" s="106" t="s">
        <v>181</v>
      </c>
      <c r="B40" s="93"/>
      <c r="C40" s="94"/>
      <c r="D40" s="94"/>
      <c r="E40" s="94"/>
      <c r="F40" s="107"/>
    </row>
    <row r="41" spans="1:6" ht="20.100000000000001" customHeight="1" x14ac:dyDescent="0.25">
      <c r="A41" s="83" t="s">
        <v>168</v>
      </c>
      <c r="B41" s="84">
        <v>120.96533485640339</v>
      </c>
      <c r="C41" s="85">
        <v>106.87876853032205</v>
      </c>
      <c r="D41" s="85">
        <v>105.10179500102403</v>
      </c>
      <c r="E41" s="85">
        <v>104.3905332583976</v>
      </c>
      <c r="F41" s="86">
        <v>104.24183144365884</v>
      </c>
    </row>
    <row r="42" spans="1:6" ht="20.100000000000001" customHeight="1" x14ac:dyDescent="0.25">
      <c r="A42" s="116" t="s">
        <v>169</v>
      </c>
      <c r="B42" s="101">
        <v>108.13000399740753</v>
      </c>
      <c r="C42" s="99">
        <v>107.78736222405418</v>
      </c>
      <c r="D42" s="99">
        <v>104.95606065701463</v>
      </c>
      <c r="E42" s="99">
        <v>104.26076835405888</v>
      </c>
      <c r="F42" s="100">
        <v>104.11109207107914</v>
      </c>
    </row>
    <row r="43" spans="1:6" ht="30" x14ac:dyDescent="0.25">
      <c r="A43" s="106" t="s">
        <v>182</v>
      </c>
      <c r="B43" s="93"/>
      <c r="C43" s="94"/>
      <c r="D43" s="94"/>
      <c r="E43" s="94"/>
      <c r="F43" s="107"/>
    </row>
    <row r="44" spans="1:6" ht="20.100000000000001" customHeight="1" x14ac:dyDescent="0.25">
      <c r="A44" s="83" t="s">
        <v>168</v>
      </c>
      <c r="B44" s="84">
        <v>115.50868156323209</v>
      </c>
      <c r="C44" s="85">
        <v>106.32794962302781</v>
      </c>
      <c r="D44" s="85">
        <v>104.6163057369985</v>
      </c>
      <c r="E44" s="85">
        <v>104.53578878093381</v>
      </c>
      <c r="F44" s="86">
        <v>104.08090380266306</v>
      </c>
    </row>
    <row r="45" spans="1:6" ht="20.100000000000001" customHeight="1" x14ac:dyDescent="0.25">
      <c r="A45" s="116" t="s">
        <v>169</v>
      </c>
      <c r="B45" s="101">
        <v>115.87609489447834</v>
      </c>
      <c r="C45" s="99">
        <v>105.69142374503946</v>
      </c>
      <c r="D45" s="99">
        <v>104.90157749982536</v>
      </c>
      <c r="E45" s="99">
        <v>104.6016258084026</v>
      </c>
      <c r="F45" s="100">
        <v>104.23390203490861</v>
      </c>
    </row>
    <row r="46" spans="1:6" ht="20.100000000000001" customHeight="1" x14ac:dyDescent="0.25">
      <c r="A46" s="119" t="s">
        <v>183</v>
      </c>
      <c r="B46" s="103"/>
      <c r="C46" s="104"/>
      <c r="D46" s="104"/>
      <c r="E46" s="104"/>
      <c r="F46" s="120"/>
    </row>
    <row r="47" spans="1:6" ht="20.100000000000001" customHeight="1" x14ac:dyDescent="0.25">
      <c r="A47" s="83" t="s">
        <v>168</v>
      </c>
      <c r="B47" s="84">
        <v>113.24130163050978</v>
      </c>
      <c r="C47" s="85">
        <v>104.59679371961705</v>
      </c>
      <c r="D47" s="85">
        <v>105.24473116483347</v>
      </c>
      <c r="E47" s="85">
        <v>104.5343939962488</v>
      </c>
      <c r="F47" s="86">
        <v>104.26861225714855</v>
      </c>
    </row>
    <row r="48" spans="1:6" ht="20.100000000000001" customHeight="1" x14ac:dyDescent="0.25">
      <c r="A48" s="87" t="s">
        <v>169</v>
      </c>
      <c r="B48" s="101">
        <v>115.17405559187806</v>
      </c>
      <c r="C48" s="99">
        <v>104.11995269536969</v>
      </c>
      <c r="D48" s="99">
        <v>105.48112077771128</v>
      </c>
      <c r="E48" s="99">
        <v>104.3218876173633</v>
      </c>
      <c r="F48" s="100">
        <v>104.10383710980962</v>
      </c>
    </row>
    <row r="49" spans="1:6" ht="20.100000000000001" customHeight="1" x14ac:dyDescent="0.25">
      <c r="A49" s="106" t="s">
        <v>184</v>
      </c>
      <c r="B49" s="93"/>
      <c r="C49" s="94"/>
      <c r="D49" s="94"/>
      <c r="E49" s="94"/>
      <c r="F49" s="107"/>
    </row>
    <row r="50" spans="1:6" ht="20.100000000000001" customHeight="1" x14ac:dyDescent="0.25">
      <c r="A50" s="83" t="s">
        <v>168</v>
      </c>
      <c r="B50" s="84">
        <v>114.13223304222807</v>
      </c>
      <c r="C50" s="85">
        <v>99.904306056774189</v>
      </c>
      <c r="D50" s="85">
        <v>105.32826933333008</v>
      </c>
      <c r="E50" s="85">
        <v>104.33511477660575</v>
      </c>
      <c r="F50" s="86">
        <v>104.00450444285593</v>
      </c>
    </row>
    <row r="51" spans="1:6" ht="20.100000000000001" customHeight="1" x14ac:dyDescent="0.25">
      <c r="A51" s="116" t="s">
        <v>169</v>
      </c>
      <c r="B51" s="101">
        <v>116.42070027940159</v>
      </c>
      <c r="C51" s="99">
        <v>99.349514546102398</v>
      </c>
      <c r="D51" s="99">
        <v>105.72709177194579</v>
      </c>
      <c r="E51" s="99">
        <v>104.80210109300165</v>
      </c>
      <c r="F51" s="100">
        <v>104.53396529484998</v>
      </c>
    </row>
    <row r="52" spans="1:6" ht="45" x14ac:dyDescent="0.25">
      <c r="A52" s="106" t="s">
        <v>185</v>
      </c>
      <c r="B52" s="93"/>
      <c r="C52" s="94"/>
      <c r="D52" s="94"/>
      <c r="E52" s="94"/>
      <c r="F52" s="107"/>
    </row>
    <row r="53" spans="1:6" ht="20.100000000000001" customHeight="1" x14ac:dyDescent="0.25">
      <c r="A53" s="83" t="s">
        <v>168</v>
      </c>
      <c r="B53" s="84">
        <v>110.04180421631817</v>
      </c>
      <c r="C53" s="85">
        <v>106.61941935572375</v>
      </c>
      <c r="D53" s="85">
        <v>104.57443480634933</v>
      </c>
      <c r="E53" s="85">
        <v>104.73031787023592</v>
      </c>
      <c r="F53" s="86">
        <v>104.17639819730194</v>
      </c>
    </row>
    <row r="54" spans="1:6" ht="20.100000000000001" customHeight="1" thickBot="1" x14ac:dyDescent="0.3">
      <c r="A54" s="108" t="s">
        <v>169</v>
      </c>
      <c r="B54" s="109">
        <v>105.88136393939355</v>
      </c>
      <c r="C54" s="110">
        <v>107.27844321119238</v>
      </c>
      <c r="D54" s="110">
        <v>104.90740172515902</v>
      </c>
      <c r="E54" s="110">
        <v>104.54776305673985</v>
      </c>
      <c r="F54" s="111">
        <v>104.17244523413601</v>
      </c>
    </row>
    <row r="55" spans="1:6" ht="17.25" customHeight="1" x14ac:dyDescent="0.25">
      <c r="A55" s="112" t="s">
        <v>186</v>
      </c>
      <c r="B55" s="113"/>
      <c r="C55" s="114"/>
      <c r="D55" s="114"/>
      <c r="E55" s="114"/>
      <c r="F55" s="115"/>
    </row>
    <row r="56" spans="1:6" ht="20.100000000000001" customHeight="1" x14ac:dyDescent="0.25">
      <c r="A56" s="83" t="s">
        <v>168</v>
      </c>
      <c r="B56" s="84">
        <v>111.5456420627381</v>
      </c>
      <c r="C56" s="85">
        <v>106.44925495141177</v>
      </c>
      <c r="D56" s="85">
        <v>105.01047125544515</v>
      </c>
      <c r="E56" s="85">
        <v>104.60477726260757</v>
      </c>
      <c r="F56" s="86">
        <v>104.22241427605294</v>
      </c>
    </row>
    <row r="57" spans="1:6" ht="20.100000000000001" customHeight="1" x14ac:dyDescent="0.25">
      <c r="A57" s="87" t="s">
        <v>169</v>
      </c>
      <c r="B57" s="101">
        <v>112.64132471865371</v>
      </c>
      <c r="C57" s="99">
        <v>106.41132499609154</v>
      </c>
      <c r="D57" s="99">
        <v>104.80468565373529</v>
      </c>
      <c r="E57" s="99">
        <v>104.60148636332333</v>
      </c>
      <c r="F57" s="100">
        <v>104.33262715956135</v>
      </c>
    </row>
    <row r="58" spans="1:6" ht="15.75" x14ac:dyDescent="0.25">
      <c r="A58" s="106" t="s">
        <v>187</v>
      </c>
      <c r="B58" s="93"/>
      <c r="C58" s="94"/>
      <c r="D58" s="94"/>
      <c r="E58" s="94"/>
      <c r="F58" s="107"/>
    </row>
    <row r="59" spans="1:6" ht="20.100000000000001" customHeight="1" x14ac:dyDescent="0.25">
      <c r="A59" s="83" t="s">
        <v>168</v>
      </c>
      <c r="B59" s="84">
        <v>109.16221426790086</v>
      </c>
      <c r="C59" s="85">
        <v>99.447827856541124</v>
      </c>
      <c r="D59" s="85">
        <v>105.44341286222947</v>
      </c>
      <c r="E59" s="85">
        <v>104.79798348541236</v>
      </c>
      <c r="F59" s="86">
        <v>104.03777512446509</v>
      </c>
    </row>
    <row r="60" spans="1:6" ht="20.100000000000001" customHeight="1" x14ac:dyDescent="0.25">
      <c r="A60" s="116" t="s">
        <v>169</v>
      </c>
      <c r="B60" s="101">
        <v>108.16688274799844</v>
      </c>
      <c r="C60" s="99">
        <v>98.611508076292665</v>
      </c>
      <c r="D60" s="99">
        <v>105.13235640383387</v>
      </c>
      <c r="E60" s="99">
        <v>104.61164785298371</v>
      </c>
      <c r="F60" s="100">
        <v>104.14658555061386</v>
      </c>
    </row>
    <row r="61" spans="1:6" ht="30" x14ac:dyDescent="0.25">
      <c r="A61" s="119" t="s">
        <v>188</v>
      </c>
      <c r="B61" s="103"/>
      <c r="C61" s="104"/>
      <c r="D61" s="104"/>
      <c r="E61" s="104"/>
      <c r="F61" s="120"/>
    </row>
    <row r="62" spans="1:6" ht="20.100000000000001" customHeight="1" x14ac:dyDescent="0.25">
      <c r="A62" s="83" t="s">
        <v>168</v>
      </c>
      <c r="B62" s="84">
        <v>106.528852794459</v>
      </c>
      <c r="C62" s="85">
        <v>111.49629206404319</v>
      </c>
      <c r="D62" s="85">
        <v>104.22804938958225</v>
      </c>
      <c r="E62" s="85">
        <v>104.05703839867462</v>
      </c>
      <c r="F62" s="86">
        <v>103.92459747414003</v>
      </c>
    </row>
    <row r="63" spans="1:6" ht="20.100000000000001" customHeight="1" x14ac:dyDescent="0.25">
      <c r="A63" s="87" t="s">
        <v>169</v>
      </c>
      <c r="B63" s="101">
        <v>111.43512919616356</v>
      </c>
      <c r="C63" s="99">
        <v>120.91367298972482</v>
      </c>
      <c r="D63" s="99">
        <v>101.94364538892791</v>
      </c>
      <c r="E63" s="99">
        <v>104.32468277815951</v>
      </c>
      <c r="F63" s="100">
        <v>104.1097953384234</v>
      </c>
    </row>
    <row r="64" spans="1:6" ht="30" x14ac:dyDescent="0.25">
      <c r="A64" s="106" t="s">
        <v>189</v>
      </c>
      <c r="B64" s="93"/>
      <c r="C64" s="94"/>
      <c r="D64" s="94"/>
      <c r="E64" s="94"/>
      <c r="F64" s="107"/>
    </row>
    <row r="65" spans="1:6" ht="20.100000000000001" customHeight="1" x14ac:dyDescent="0.25">
      <c r="A65" s="83" t="s">
        <v>168</v>
      </c>
      <c r="B65" s="84">
        <v>100.8792093493319</v>
      </c>
      <c r="C65" s="85">
        <v>108.89719106622277</v>
      </c>
      <c r="D65" s="85">
        <v>103.27561759689416</v>
      </c>
      <c r="E65" s="85">
        <v>104.71074194451768</v>
      </c>
      <c r="F65" s="86">
        <v>104.30586903447228</v>
      </c>
    </row>
    <row r="66" spans="1:6" ht="20.100000000000001" customHeight="1" x14ac:dyDescent="0.25">
      <c r="A66" s="116" t="s">
        <v>169</v>
      </c>
      <c r="B66" s="101">
        <v>114.25005205619603</v>
      </c>
      <c r="C66" s="99">
        <v>108.73218675038221</v>
      </c>
      <c r="D66" s="99">
        <v>103.06913934525596</v>
      </c>
      <c r="E66" s="99">
        <v>104.49429232176757</v>
      </c>
      <c r="F66" s="100">
        <v>104.22622748992703</v>
      </c>
    </row>
    <row r="67" spans="1:6" ht="20.100000000000001" customHeight="1" x14ac:dyDescent="0.25">
      <c r="A67" s="119" t="s">
        <v>190</v>
      </c>
      <c r="B67" s="103"/>
      <c r="C67" s="104"/>
      <c r="D67" s="104"/>
      <c r="E67" s="104"/>
      <c r="F67" s="120"/>
    </row>
    <row r="68" spans="1:6" ht="20.100000000000001" customHeight="1" x14ac:dyDescent="0.25">
      <c r="A68" s="83" t="s">
        <v>168</v>
      </c>
      <c r="B68" s="84">
        <v>108.64523070012515</v>
      </c>
      <c r="C68" s="85">
        <v>106.60727970006529</v>
      </c>
      <c r="D68" s="85">
        <v>105.12977426698855</v>
      </c>
      <c r="E68" s="85">
        <v>104.49406746430043</v>
      </c>
      <c r="F68" s="86">
        <v>104.28049378502189</v>
      </c>
    </row>
    <row r="69" spans="1:6" ht="20.100000000000001" customHeight="1" x14ac:dyDescent="0.25">
      <c r="A69" s="87" t="s">
        <v>169</v>
      </c>
      <c r="B69" s="101">
        <v>109.56381820921162</v>
      </c>
      <c r="C69" s="99">
        <v>106.32103426692714</v>
      </c>
      <c r="D69" s="99">
        <v>105.00066360710174</v>
      </c>
      <c r="E69" s="99">
        <v>104.50599381785813</v>
      </c>
      <c r="F69" s="100">
        <v>104.17747747921725</v>
      </c>
    </row>
    <row r="70" spans="1:6" ht="20.100000000000001" customHeight="1" x14ac:dyDescent="0.25">
      <c r="A70" s="106" t="s">
        <v>191</v>
      </c>
      <c r="B70" s="93"/>
      <c r="C70" s="94"/>
      <c r="D70" s="94"/>
      <c r="E70" s="94"/>
      <c r="F70" s="107"/>
    </row>
    <row r="71" spans="1:6" ht="20.100000000000001" customHeight="1" x14ac:dyDescent="0.25">
      <c r="A71" s="83" t="s">
        <v>168</v>
      </c>
      <c r="B71" s="84">
        <v>115.38372695310287</v>
      </c>
      <c r="C71" s="85">
        <v>104.62359682985185</v>
      </c>
      <c r="D71" s="85">
        <v>104.17947848607115</v>
      </c>
      <c r="E71" s="121">
        <v>104.07633789472467</v>
      </c>
      <c r="F71" s="122">
        <v>104.08622650518835</v>
      </c>
    </row>
    <row r="72" spans="1:6" ht="31.5" x14ac:dyDescent="0.25">
      <c r="A72" s="92" t="s">
        <v>192</v>
      </c>
      <c r="B72" s="123"/>
      <c r="C72" s="124"/>
      <c r="D72" s="124"/>
      <c r="E72" s="124"/>
      <c r="F72" s="95"/>
    </row>
    <row r="73" spans="1:6" ht="20.100000000000001" customHeight="1" x14ac:dyDescent="0.25">
      <c r="A73" s="83" t="s">
        <v>168</v>
      </c>
      <c r="B73" s="84">
        <v>106.17344333797011</v>
      </c>
      <c r="C73" s="85">
        <v>112.91619074338112</v>
      </c>
      <c r="D73" s="85">
        <v>112.17752271586485</v>
      </c>
      <c r="E73" s="85">
        <v>109.18537367335912</v>
      </c>
      <c r="F73" s="86">
        <v>104.84904608861527</v>
      </c>
    </row>
    <row r="74" spans="1:6" ht="20.100000000000001" customHeight="1" x14ac:dyDescent="0.25">
      <c r="A74" s="87" t="s">
        <v>169</v>
      </c>
      <c r="B74" s="101">
        <v>105.9474791422065</v>
      </c>
      <c r="C74" s="99">
        <v>112.84908102776737</v>
      </c>
      <c r="D74" s="99">
        <v>112.32463091645218</v>
      </c>
      <c r="E74" s="99">
        <v>109.08432153977986</v>
      </c>
      <c r="F74" s="100">
        <v>104.85400045902389</v>
      </c>
    </row>
    <row r="75" spans="1:6" ht="31.5" x14ac:dyDescent="0.25">
      <c r="A75" s="92" t="s">
        <v>193</v>
      </c>
      <c r="B75" s="123"/>
      <c r="C75" s="124"/>
      <c r="D75" s="124"/>
      <c r="E75" s="124"/>
      <c r="F75" s="95"/>
    </row>
    <row r="76" spans="1:6" ht="20.100000000000001" customHeight="1" x14ac:dyDescent="0.25">
      <c r="A76" s="83" t="s">
        <v>168</v>
      </c>
      <c r="B76" s="84">
        <v>110.60609098051319</v>
      </c>
      <c r="C76" s="85">
        <v>104.39780375544059</v>
      </c>
      <c r="D76" s="85">
        <v>104.30739265450333</v>
      </c>
      <c r="E76" s="85">
        <v>104.09521082963305</v>
      </c>
      <c r="F76" s="86">
        <v>103.97409323757189</v>
      </c>
    </row>
    <row r="77" spans="1:6" ht="20.100000000000001" customHeight="1" thickBot="1" x14ac:dyDescent="0.3">
      <c r="A77" s="108" t="s">
        <v>169</v>
      </c>
      <c r="B77" s="109">
        <v>104.89058310729956</v>
      </c>
      <c r="C77" s="110">
        <v>104.31238108681535</v>
      </c>
      <c r="D77" s="110">
        <v>104.15913735900627</v>
      </c>
      <c r="E77" s="110">
        <v>104.14913053848677</v>
      </c>
      <c r="F77" s="111">
        <v>103.98109657476644</v>
      </c>
    </row>
    <row r="78" spans="1:6" ht="20.100000000000001" customHeight="1" x14ac:dyDescent="0.25">
      <c r="A78" s="79" t="s">
        <v>194</v>
      </c>
      <c r="B78" s="125"/>
      <c r="C78" s="126"/>
      <c r="D78" s="126"/>
      <c r="E78" s="126"/>
      <c r="F78" s="127"/>
    </row>
    <row r="79" spans="1:6" ht="20.100000000000001" customHeight="1" x14ac:dyDescent="0.25">
      <c r="A79" s="83" t="s">
        <v>168</v>
      </c>
      <c r="B79" s="84">
        <v>108.28401082934982</v>
      </c>
      <c r="C79" s="85">
        <v>107.57680679392156</v>
      </c>
      <c r="D79" s="85">
        <v>104.8677728860755</v>
      </c>
      <c r="E79" s="85">
        <v>104.47475602765644</v>
      </c>
      <c r="F79" s="86">
        <v>104.22528230042698</v>
      </c>
    </row>
    <row r="80" spans="1:6" ht="20.100000000000001" customHeight="1" x14ac:dyDescent="0.25">
      <c r="A80" s="92" t="s">
        <v>195</v>
      </c>
      <c r="B80" s="123"/>
      <c r="C80" s="124"/>
      <c r="D80" s="124"/>
      <c r="E80" s="124"/>
      <c r="F80" s="95"/>
    </row>
    <row r="81" spans="1:6" ht="20.100000000000001" customHeight="1" x14ac:dyDescent="0.25">
      <c r="A81" s="83" t="s">
        <v>168</v>
      </c>
      <c r="B81" s="128">
        <v>106.89963797515904</v>
      </c>
      <c r="C81" s="85">
        <v>107.07939235419946</v>
      </c>
      <c r="D81" s="85">
        <v>104.62207782500457</v>
      </c>
      <c r="E81" s="85">
        <v>104.24476614284472</v>
      </c>
      <c r="F81" s="86">
        <v>103.96301747765055</v>
      </c>
    </row>
    <row r="82" spans="1:6" ht="20.100000000000001" customHeight="1" x14ac:dyDescent="0.25">
      <c r="A82" s="92" t="s">
        <v>196</v>
      </c>
      <c r="B82" s="123"/>
      <c r="C82" s="124"/>
      <c r="D82" s="124"/>
      <c r="E82" s="124"/>
      <c r="F82" s="95"/>
    </row>
    <row r="83" spans="1:6" ht="20.100000000000001" customHeight="1" x14ac:dyDescent="0.25">
      <c r="A83" s="83" t="s">
        <v>168</v>
      </c>
      <c r="B83" s="128">
        <v>109.88781323251668</v>
      </c>
      <c r="C83" s="85">
        <v>108.20987971720425</v>
      </c>
      <c r="D83" s="85">
        <v>105.18047569107488</v>
      </c>
      <c r="E83" s="85">
        <v>104.76747042650771</v>
      </c>
      <c r="F83" s="86">
        <v>104.5590738930515</v>
      </c>
    </row>
    <row r="84" spans="1:6" ht="20.100000000000001" customHeight="1" x14ac:dyDescent="0.25">
      <c r="A84" s="129" t="s">
        <v>197</v>
      </c>
      <c r="B84" s="101">
        <v>109.33</v>
      </c>
      <c r="C84" s="99">
        <v>108.40950034374075</v>
      </c>
      <c r="D84" s="99">
        <v>105.97430695902715</v>
      </c>
      <c r="E84" s="99">
        <v>104.76252576591128</v>
      </c>
      <c r="F84" s="100">
        <v>104.37633331269029</v>
      </c>
    </row>
    <row r="85" spans="1:6" ht="16.5" customHeight="1" x14ac:dyDescent="0.25">
      <c r="A85" s="92" t="s">
        <v>198</v>
      </c>
      <c r="B85" s="130"/>
      <c r="C85" s="131"/>
      <c r="D85" s="131"/>
      <c r="E85" s="131"/>
      <c r="F85" s="132"/>
    </row>
    <row r="86" spans="1:6" ht="20.100000000000001" customHeight="1" x14ac:dyDescent="0.25">
      <c r="A86" s="83" t="s">
        <v>199</v>
      </c>
      <c r="B86" s="128">
        <v>113.85765697200173</v>
      </c>
      <c r="C86" s="85">
        <v>104.59132942577926</v>
      </c>
      <c r="D86" s="85">
        <v>105.41850054001651</v>
      </c>
      <c r="E86" s="85">
        <v>105.18814238299694</v>
      </c>
      <c r="F86" s="86">
        <v>104.5577777585379</v>
      </c>
    </row>
    <row r="87" spans="1:6" ht="20.100000000000001" customHeight="1" x14ac:dyDescent="0.25">
      <c r="A87" s="133" t="s">
        <v>200</v>
      </c>
      <c r="B87" s="88">
        <v>113.46</v>
      </c>
      <c r="C87" s="89">
        <v>104.88479825297321</v>
      </c>
      <c r="D87" s="89">
        <v>105.57243886634014</v>
      </c>
      <c r="E87" s="89">
        <v>104.86618350374822</v>
      </c>
      <c r="F87" s="90">
        <v>104.66539939197199</v>
      </c>
    </row>
    <row r="88" spans="1:6" ht="20.100000000000001" customHeight="1" x14ac:dyDescent="0.25">
      <c r="A88" s="134" t="s">
        <v>201</v>
      </c>
      <c r="B88" s="101">
        <v>121.23</v>
      </c>
      <c r="C88" s="99">
        <v>107.41352040770265</v>
      </c>
      <c r="D88" s="99">
        <v>107.12099573690487</v>
      </c>
      <c r="E88" s="99">
        <v>105.73159248387611</v>
      </c>
      <c r="F88" s="100">
        <v>105.16276208838235</v>
      </c>
    </row>
    <row r="89" spans="1:6" ht="20.100000000000001" customHeight="1" x14ac:dyDescent="0.25">
      <c r="A89" s="102" t="s">
        <v>202</v>
      </c>
      <c r="B89" s="135"/>
      <c r="C89" s="136"/>
      <c r="D89" s="136"/>
      <c r="E89" s="136"/>
      <c r="F89" s="137"/>
    </row>
    <row r="90" spans="1:6" ht="20.100000000000001" customHeight="1" x14ac:dyDescent="0.25">
      <c r="A90" s="83" t="s">
        <v>168</v>
      </c>
      <c r="B90" s="84">
        <v>108.1403233838721</v>
      </c>
      <c r="C90" s="85">
        <v>107.76928576533216</v>
      </c>
      <c r="D90" s="85">
        <v>105.26288520949112</v>
      </c>
      <c r="E90" s="85">
        <v>104.44338654763581</v>
      </c>
      <c r="F90" s="86">
        <v>104.32620834267705</v>
      </c>
    </row>
    <row r="91" spans="1:6" ht="20.100000000000001" customHeight="1" x14ac:dyDescent="0.25">
      <c r="A91" s="116" t="s">
        <v>203</v>
      </c>
      <c r="B91" s="101">
        <v>108.22</v>
      </c>
      <c r="C91" s="99"/>
      <c r="D91" s="99"/>
      <c r="E91" s="99"/>
      <c r="F91" s="100"/>
    </row>
    <row r="92" spans="1:6" ht="20.100000000000001" customHeight="1" x14ac:dyDescent="0.25">
      <c r="A92" s="102" t="s">
        <v>204</v>
      </c>
      <c r="B92" s="135"/>
      <c r="C92" s="136"/>
      <c r="D92" s="136"/>
      <c r="E92" s="136"/>
      <c r="F92" s="137"/>
    </row>
    <row r="93" spans="1:6" ht="20.100000000000001" customHeight="1" x14ac:dyDescent="0.25">
      <c r="A93" s="83" t="s">
        <v>168</v>
      </c>
      <c r="B93" s="128">
        <v>107.80714468300798</v>
      </c>
      <c r="C93" s="85">
        <v>105.34237071997387</v>
      </c>
      <c r="D93" s="85">
        <v>104.56395362841361</v>
      </c>
      <c r="E93" s="85">
        <v>104.52129315594252</v>
      </c>
      <c r="F93" s="86">
        <v>104.34202754602879</v>
      </c>
    </row>
    <row r="94" spans="1:6" ht="20.100000000000001" customHeight="1" x14ac:dyDescent="0.25">
      <c r="A94" s="116" t="s">
        <v>169</v>
      </c>
      <c r="B94" s="101">
        <v>107.87</v>
      </c>
      <c r="C94" s="99">
        <v>105.00988580840776</v>
      </c>
      <c r="D94" s="99">
        <v>104.69473958479512</v>
      </c>
      <c r="E94" s="99">
        <v>104.39200908865662</v>
      </c>
      <c r="F94" s="100">
        <v>104.33971126344335</v>
      </c>
    </row>
    <row r="95" spans="1:6" ht="20.100000000000001" customHeight="1" x14ac:dyDescent="0.25">
      <c r="A95" s="92" t="s">
        <v>205</v>
      </c>
      <c r="B95" s="130"/>
      <c r="C95" s="131"/>
      <c r="D95" s="131"/>
      <c r="E95" s="131"/>
      <c r="F95" s="132"/>
    </row>
    <row r="96" spans="1:6" ht="20.100000000000001" customHeight="1" x14ac:dyDescent="0.25">
      <c r="A96" s="83" t="s">
        <v>206</v>
      </c>
      <c r="B96" s="84">
        <v>107.68300000000001</v>
      </c>
      <c r="C96" s="85">
        <v>108.643</v>
      </c>
      <c r="D96" s="85">
        <v>104.95</v>
      </c>
      <c r="E96" s="85">
        <v>104.03</v>
      </c>
      <c r="F96" s="86">
        <v>104.03</v>
      </c>
    </row>
    <row r="97" spans="1:6" ht="20.100000000000001" customHeight="1" x14ac:dyDescent="0.25">
      <c r="A97" s="87" t="s">
        <v>207</v>
      </c>
      <c r="B97" s="88">
        <v>107.85</v>
      </c>
      <c r="C97" s="89">
        <v>108.81</v>
      </c>
      <c r="D97" s="89">
        <v>105.35</v>
      </c>
      <c r="E97" s="89">
        <v>104.03</v>
      </c>
      <c r="F97" s="90">
        <v>104.03</v>
      </c>
    </row>
    <row r="98" spans="1:6" ht="20.100000000000001" customHeight="1" x14ac:dyDescent="0.25">
      <c r="A98" s="83" t="s">
        <v>208</v>
      </c>
      <c r="B98" s="84">
        <v>110.28919999999999</v>
      </c>
      <c r="C98" s="85">
        <v>111.0592</v>
      </c>
      <c r="D98" s="85">
        <v>106.1</v>
      </c>
      <c r="E98" s="85">
        <v>104.5</v>
      </c>
      <c r="F98" s="86">
        <v>104.03</v>
      </c>
    </row>
    <row r="99" spans="1:6" ht="20.100000000000001" customHeight="1" thickBot="1" x14ac:dyDescent="0.3">
      <c r="A99" s="108" t="s">
        <v>209</v>
      </c>
      <c r="B99" s="109">
        <v>109.97</v>
      </c>
      <c r="C99" s="110">
        <v>110.74</v>
      </c>
      <c r="D99" s="110">
        <v>105.54</v>
      </c>
      <c r="E99" s="110">
        <v>104.01</v>
      </c>
      <c r="F99" s="111">
        <v>104.03</v>
      </c>
    </row>
    <row r="100" spans="1:6" ht="15" customHeight="1" x14ac:dyDescent="0.25">
      <c r="A100" s="138" t="s">
        <v>210</v>
      </c>
      <c r="B100" s="139"/>
      <c r="C100" s="139"/>
      <c r="D100" s="139"/>
      <c r="E100" s="139"/>
      <c r="F100" s="139"/>
    </row>
    <row r="101" spans="1:6" ht="14.25" customHeight="1" x14ac:dyDescent="0.25">
      <c r="A101" s="140" t="s">
        <v>211</v>
      </c>
      <c r="B101" s="141"/>
      <c r="C101" s="141"/>
      <c r="D101" s="141"/>
      <c r="E101" s="141"/>
      <c r="F101" s="141"/>
    </row>
    <row r="102" spans="1:6" ht="27" customHeight="1" x14ac:dyDescent="0.25">
      <c r="A102" s="450" t="s">
        <v>212</v>
      </c>
      <c r="B102" s="451"/>
      <c r="C102" s="451"/>
      <c r="D102" s="451"/>
      <c r="E102" s="451"/>
      <c r="F102" s="451"/>
    </row>
    <row r="103" spans="1:6" ht="15.75" x14ac:dyDescent="0.25">
      <c r="A103" s="138" t="s">
        <v>213</v>
      </c>
      <c r="B103" s="142"/>
      <c r="C103" s="142"/>
      <c r="D103" s="142"/>
      <c r="E103" s="142"/>
      <c r="F103" s="142"/>
    </row>
    <row r="104" spans="1:6" ht="15.75" x14ac:dyDescent="0.25">
      <c r="A104" s="138" t="s">
        <v>214</v>
      </c>
      <c r="B104" s="142"/>
      <c r="C104" s="142"/>
      <c r="D104" s="142"/>
      <c r="E104" s="142"/>
      <c r="F104" s="142"/>
    </row>
    <row r="105" spans="1:6" ht="15.75" x14ac:dyDescent="0.25">
      <c r="A105" s="138" t="s">
        <v>215</v>
      </c>
      <c r="B105" s="143"/>
      <c r="C105" s="143"/>
      <c r="D105" s="143"/>
      <c r="E105" s="143"/>
      <c r="F105" s="143"/>
    </row>
    <row r="106" spans="1:6" ht="15" customHeight="1" x14ac:dyDescent="0.25">
      <c r="A106" s="138" t="s">
        <v>216</v>
      </c>
      <c r="B106" s="141"/>
      <c r="C106" s="141"/>
      <c r="D106" s="141"/>
      <c r="E106" s="141"/>
      <c r="F106" s="141"/>
    </row>
  </sheetData>
  <mergeCells count="6">
    <mergeCell ref="A102:F102"/>
    <mergeCell ref="A1:F2"/>
    <mergeCell ref="A3:F3"/>
    <mergeCell ref="A4:F4"/>
    <mergeCell ref="A5:A6"/>
    <mergeCell ref="D6:F6"/>
  </mergeCells>
  <phoneticPr fontId="0" type="noConversion"/>
  <pageMargins left="0.75" right="0.75" top="1" bottom="1" header="0.5" footer="0.5"/>
  <headerFooter alignWithMargins="0">
    <oddHeader>&amp;A</oddHeader>
    <oddFooter>Страница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8"/>
  <sheetViews>
    <sheetView topLeftCell="A4" workbookViewId="0">
      <selection activeCell="A21" sqref="A21:XFD21"/>
    </sheetView>
  </sheetViews>
  <sheetFormatPr defaultRowHeight="16.5" x14ac:dyDescent="0.2"/>
  <cols>
    <col min="1" max="1" width="87.7109375" style="228" customWidth="1"/>
    <col min="2" max="2" width="23.85546875" style="229" customWidth="1"/>
    <col min="3" max="7" width="11.7109375" style="144" customWidth="1"/>
    <col min="8" max="16384" width="9.140625" style="144"/>
  </cols>
  <sheetData>
    <row r="1" spans="1:12" ht="12.75" x14ac:dyDescent="0.2">
      <c r="A1" s="452" t="s">
        <v>161</v>
      </c>
      <c r="B1" s="460"/>
      <c r="C1" s="460"/>
      <c r="D1" s="460"/>
      <c r="E1" s="460"/>
      <c r="F1" s="460"/>
      <c r="G1" s="460"/>
    </row>
    <row r="2" spans="1:12" ht="37.5" customHeight="1" x14ac:dyDescent="0.2">
      <c r="A2" s="460"/>
      <c r="B2" s="460"/>
      <c r="C2" s="460"/>
      <c r="D2" s="460"/>
      <c r="E2" s="460"/>
      <c r="F2" s="460"/>
      <c r="G2" s="460"/>
    </row>
    <row r="3" spans="1:12" ht="48.75" customHeight="1" x14ac:dyDescent="0.2">
      <c r="A3" s="461" t="s">
        <v>217</v>
      </c>
      <c r="B3" s="461"/>
      <c r="C3" s="461"/>
      <c r="D3" s="461"/>
      <c r="E3" s="461"/>
      <c r="F3" s="461"/>
      <c r="G3" s="461"/>
    </row>
    <row r="4" spans="1:12" ht="19.5" customHeight="1" thickBot="1" x14ac:dyDescent="0.25">
      <c r="A4" s="462" t="s">
        <v>218</v>
      </c>
      <c r="B4" s="462"/>
      <c r="C4" s="462"/>
      <c r="D4" s="462"/>
      <c r="E4" s="462"/>
      <c r="F4" s="462"/>
      <c r="G4" s="462"/>
    </row>
    <row r="5" spans="1:12" ht="18.75" customHeight="1" x14ac:dyDescent="0.2">
      <c r="A5" s="463"/>
      <c r="B5" s="465"/>
      <c r="C5" s="145">
        <v>2024</v>
      </c>
      <c r="D5" s="146">
        <f>C5+1</f>
        <v>2025</v>
      </c>
      <c r="E5" s="146">
        <f t="shared" ref="E5:G5" si="0">D5+1</f>
        <v>2026</v>
      </c>
      <c r="F5" s="146">
        <f t="shared" si="0"/>
        <v>2027</v>
      </c>
      <c r="G5" s="147">
        <f t="shared" si="0"/>
        <v>2028</v>
      </c>
    </row>
    <row r="6" spans="1:12" ht="18.75" customHeight="1" thickBot="1" x14ac:dyDescent="0.25">
      <c r="A6" s="464"/>
      <c r="B6" s="466" t="s">
        <v>1</v>
      </c>
      <c r="C6" s="148" t="s">
        <v>219</v>
      </c>
      <c r="D6" s="149" t="s">
        <v>165</v>
      </c>
      <c r="E6" s="467" t="s">
        <v>166</v>
      </c>
      <c r="F6" s="468"/>
      <c r="G6" s="469"/>
    </row>
    <row r="7" spans="1:12" ht="17.100000000000001" customHeight="1" x14ac:dyDescent="0.2">
      <c r="A7" s="150" t="s">
        <v>220</v>
      </c>
      <c r="B7" s="151"/>
      <c r="C7" s="152">
        <v>66.599999999999994</v>
      </c>
      <c r="D7" s="153">
        <v>48.830100000000002</v>
      </c>
      <c r="E7" s="153">
        <v>43</v>
      </c>
      <c r="F7" s="153">
        <v>43</v>
      </c>
      <c r="G7" s="154">
        <v>43</v>
      </c>
    </row>
    <row r="8" spans="1:12" ht="17.100000000000001" customHeight="1" x14ac:dyDescent="0.25">
      <c r="A8" s="155" t="s">
        <v>221</v>
      </c>
      <c r="B8" s="156"/>
      <c r="C8" s="157" t="s">
        <v>222</v>
      </c>
      <c r="D8" s="158" t="s">
        <v>222</v>
      </c>
      <c r="E8" s="158" t="s">
        <v>222</v>
      </c>
      <c r="F8" s="158" t="s">
        <v>222</v>
      </c>
      <c r="G8" s="159" t="s">
        <v>222</v>
      </c>
    </row>
    <row r="9" spans="1:12" ht="17.100000000000001" customHeight="1" x14ac:dyDescent="0.2">
      <c r="A9" s="160" t="s">
        <v>223</v>
      </c>
      <c r="B9" s="161" t="s">
        <v>224</v>
      </c>
      <c r="C9" s="162">
        <v>109.52</v>
      </c>
      <c r="D9" s="163">
        <v>108.1561</v>
      </c>
      <c r="E9" s="163">
        <v>104.02200000000001</v>
      </c>
      <c r="F9" s="163">
        <v>104.03270000000001</v>
      </c>
      <c r="G9" s="164">
        <v>104.03270000000001</v>
      </c>
    </row>
    <row r="10" spans="1:12" ht="17.100000000000001" customHeight="1" x14ac:dyDescent="0.2">
      <c r="A10" s="160" t="s">
        <v>225</v>
      </c>
      <c r="B10" s="161" t="s">
        <v>226</v>
      </c>
      <c r="C10" s="162">
        <v>108.45</v>
      </c>
      <c r="D10" s="163">
        <v>109.64</v>
      </c>
      <c r="E10" s="163">
        <v>105.65</v>
      </c>
      <c r="F10" s="163">
        <v>104.02</v>
      </c>
      <c r="G10" s="164">
        <v>104.03</v>
      </c>
    </row>
    <row r="11" spans="1:12" ht="17.100000000000001" customHeight="1" x14ac:dyDescent="0.25">
      <c r="A11" s="155" t="s">
        <v>227</v>
      </c>
      <c r="B11" s="156"/>
      <c r="C11" s="157" t="s">
        <v>222</v>
      </c>
      <c r="D11" s="158" t="s">
        <v>222</v>
      </c>
      <c r="E11" s="158" t="s">
        <v>222</v>
      </c>
      <c r="F11" s="158" t="s">
        <v>222</v>
      </c>
      <c r="G11" s="159" t="s">
        <v>222</v>
      </c>
    </row>
    <row r="12" spans="1:12" ht="17.100000000000001" customHeight="1" x14ac:dyDescent="0.2">
      <c r="A12" s="165" t="s">
        <v>228</v>
      </c>
      <c r="B12" s="161" t="s">
        <v>229</v>
      </c>
      <c r="C12" s="166">
        <v>201152.09220000001</v>
      </c>
      <c r="D12" s="167">
        <v>219052.97155624695</v>
      </c>
      <c r="E12" s="167">
        <v>234515.35294547895</v>
      </c>
      <c r="F12" s="167">
        <v>252831.17799084171</v>
      </c>
      <c r="G12" s="168">
        <v>273066.05578329071</v>
      </c>
    </row>
    <row r="13" spans="1:12" ht="17.100000000000001" customHeight="1" x14ac:dyDescent="0.2">
      <c r="A13" s="165" t="s">
        <v>230</v>
      </c>
      <c r="B13" s="161" t="s">
        <v>226</v>
      </c>
      <c r="C13" s="162">
        <v>104.3</v>
      </c>
      <c r="D13" s="163">
        <v>101.76</v>
      </c>
      <c r="E13" s="163">
        <v>101.16</v>
      </c>
      <c r="F13" s="163">
        <v>102.28</v>
      </c>
      <c r="G13" s="164">
        <v>102.87</v>
      </c>
    </row>
    <row r="14" spans="1:12" ht="17.100000000000001" customHeight="1" x14ac:dyDescent="0.2">
      <c r="A14" s="165" t="s">
        <v>231</v>
      </c>
      <c r="B14" s="161" t="s">
        <v>226</v>
      </c>
      <c r="C14" s="169">
        <v>109.3222</v>
      </c>
      <c r="D14" s="170">
        <v>107.0157</v>
      </c>
      <c r="E14" s="170">
        <v>105.83110000000001</v>
      </c>
      <c r="F14" s="170">
        <v>105.4068</v>
      </c>
      <c r="G14" s="171">
        <v>104.9901</v>
      </c>
    </row>
    <row r="15" spans="1:12" ht="17.100000000000001" customHeight="1" x14ac:dyDescent="0.25">
      <c r="A15" s="155" t="s">
        <v>232</v>
      </c>
      <c r="B15" s="156"/>
      <c r="C15" s="157" t="s">
        <v>222</v>
      </c>
      <c r="D15" s="158"/>
      <c r="E15" s="158" t="s">
        <v>222</v>
      </c>
      <c r="F15" s="158" t="s">
        <v>222</v>
      </c>
      <c r="G15" s="159" t="s">
        <v>222</v>
      </c>
      <c r="K15" s="172"/>
      <c r="L15" s="172"/>
    </row>
    <row r="16" spans="1:12" ht="17.100000000000001" customHeight="1" x14ac:dyDescent="0.2">
      <c r="A16" s="165" t="s">
        <v>228</v>
      </c>
      <c r="B16" s="161" t="s">
        <v>229</v>
      </c>
      <c r="C16" s="166">
        <v>124387.353</v>
      </c>
      <c r="D16" s="167">
        <v>132097.55744541698</v>
      </c>
      <c r="E16" s="167">
        <v>141037.01242495683</v>
      </c>
      <c r="F16" s="167">
        <v>151204.06823910991</v>
      </c>
      <c r="G16" s="168">
        <v>161374.85596109324</v>
      </c>
    </row>
    <row r="17" spans="1:7" ht="17.100000000000001" customHeight="1" x14ac:dyDescent="0.2">
      <c r="A17" s="160" t="s">
        <v>233</v>
      </c>
      <c r="B17" s="161" t="s">
        <v>226</v>
      </c>
      <c r="C17" s="162">
        <v>104.6</v>
      </c>
      <c r="D17" s="163">
        <v>102.0453</v>
      </c>
      <c r="E17" s="163">
        <v>102.6905</v>
      </c>
      <c r="F17" s="163">
        <v>102.8283</v>
      </c>
      <c r="G17" s="164">
        <v>102.8293</v>
      </c>
    </row>
    <row r="18" spans="1:7" ht="17.100000000000001" customHeight="1" x14ac:dyDescent="0.2">
      <c r="A18" s="160" t="s">
        <v>234</v>
      </c>
      <c r="B18" s="161" t="s">
        <v>226</v>
      </c>
      <c r="C18" s="169">
        <v>110.94</v>
      </c>
      <c r="D18" s="170">
        <v>104.07</v>
      </c>
      <c r="E18" s="170">
        <v>103.97</v>
      </c>
      <c r="F18" s="170">
        <v>104.26</v>
      </c>
      <c r="G18" s="171">
        <v>103.79</v>
      </c>
    </row>
    <row r="19" spans="1:7" ht="17.100000000000001" customHeight="1" x14ac:dyDescent="0.25">
      <c r="A19" s="155" t="s">
        <v>235</v>
      </c>
      <c r="B19" s="156"/>
      <c r="C19" s="157" t="s">
        <v>222</v>
      </c>
      <c r="D19" s="158" t="s">
        <v>222</v>
      </c>
      <c r="E19" s="158" t="s">
        <v>222</v>
      </c>
      <c r="F19" s="158" t="s">
        <v>222</v>
      </c>
      <c r="G19" s="159" t="s">
        <v>222</v>
      </c>
    </row>
    <row r="20" spans="1:7" ht="17.100000000000001" customHeight="1" x14ac:dyDescent="0.2">
      <c r="A20" s="165" t="s">
        <v>230</v>
      </c>
      <c r="B20" s="161" t="s">
        <v>226</v>
      </c>
      <c r="C20" s="162">
        <v>97</v>
      </c>
      <c r="D20" s="163">
        <v>103.8</v>
      </c>
      <c r="E20" s="163">
        <v>101.7</v>
      </c>
      <c r="F20" s="163">
        <v>101.6</v>
      </c>
      <c r="G20" s="164">
        <v>102.9</v>
      </c>
    </row>
    <row r="21" spans="1:7" ht="17.100000000000001" customHeight="1" x14ac:dyDescent="0.2">
      <c r="A21" s="165" t="s">
        <v>236</v>
      </c>
      <c r="B21" s="161" t="s">
        <v>226</v>
      </c>
      <c r="C21" s="162">
        <v>108.28401082934982</v>
      </c>
      <c r="D21" s="163">
        <v>108.28613750133059</v>
      </c>
      <c r="E21" s="163">
        <v>105.25748562849807</v>
      </c>
      <c r="F21" s="163">
        <v>104.53061556247536</v>
      </c>
      <c r="G21" s="164">
        <v>104.23675097977753</v>
      </c>
    </row>
    <row r="22" spans="1:7" ht="17.100000000000001" customHeight="1" x14ac:dyDescent="0.25">
      <c r="A22" s="155" t="s">
        <v>237</v>
      </c>
      <c r="B22" s="156"/>
      <c r="C22" s="157" t="s">
        <v>222</v>
      </c>
      <c r="D22" s="158" t="s">
        <v>222</v>
      </c>
      <c r="E22" s="158" t="s">
        <v>222</v>
      </c>
      <c r="F22" s="158" t="s">
        <v>222</v>
      </c>
      <c r="G22" s="159" t="s">
        <v>222</v>
      </c>
    </row>
    <row r="23" spans="1:7" ht="17.100000000000001" customHeight="1" x14ac:dyDescent="0.2">
      <c r="A23" s="165" t="s">
        <v>228</v>
      </c>
      <c r="B23" s="161" t="s">
        <v>229</v>
      </c>
      <c r="C23" s="173">
        <v>39533.661</v>
      </c>
      <c r="D23" s="174">
        <v>43117.624600000003</v>
      </c>
      <c r="E23" s="174">
        <v>45301.877200000003</v>
      </c>
      <c r="F23" s="174">
        <v>48688.2889</v>
      </c>
      <c r="G23" s="175">
        <v>52582.548499999997</v>
      </c>
    </row>
    <row r="24" spans="1:7" ht="17.100000000000001" customHeight="1" x14ac:dyDescent="0.2">
      <c r="A24" s="165" t="s">
        <v>230</v>
      </c>
      <c r="B24" s="161" t="s">
        <v>226</v>
      </c>
      <c r="C24" s="162">
        <v>107.4</v>
      </c>
      <c r="D24" s="163">
        <v>100.8</v>
      </c>
      <c r="E24" s="163">
        <v>99.4</v>
      </c>
      <c r="F24" s="163">
        <v>102.9</v>
      </c>
      <c r="G24" s="164">
        <v>103.5</v>
      </c>
    </row>
    <row r="25" spans="1:7" ht="17.100000000000001" customHeight="1" x14ac:dyDescent="0.2">
      <c r="A25" s="165" t="s">
        <v>236</v>
      </c>
      <c r="B25" s="176" t="s">
        <v>226</v>
      </c>
      <c r="C25" s="162">
        <v>108.1403</v>
      </c>
      <c r="D25" s="163">
        <v>108.2</v>
      </c>
      <c r="E25" s="163">
        <v>105.7</v>
      </c>
      <c r="F25" s="163">
        <v>104.44629999999999</v>
      </c>
      <c r="G25" s="164">
        <v>104.3462</v>
      </c>
    </row>
    <row r="26" spans="1:7" ht="17.100000000000001" customHeight="1" x14ac:dyDescent="0.25">
      <c r="A26" s="155" t="s">
        <v>238</v>
      </c>
      <c r="B26" s="156"/>
      <c r="C26" s="157"/>
      <c r="D26" s="158"/>
      <c r="E26" s="158"/>
      <c r="F26" s="158"/>
      <c r="G26" s="159"/>
    </row>
    <row r="27" spans="1:7" ht="17.100000000000001" customHeight="1" x14ac:dyDescent="0.2">
      <c r="A27" s="165" t="s">
        <v>228</v>
      </c>
      <c r="B27" s="176" t="s">
        <v>229</v>
      </c>
      <c r="C27" s="173">
        <v>55589.1</v>
      </c>
      <c r="D27" s="174">
        <v>63803.979399999997</v>
      </c>
      <c r="E27" s="174">
        <v>69974.749299999996</v>
      </c>
      <c r="F27" s="174">
        <v>75524.534199999995</v>
      </c>
      <c r="G27" s="175">
        <v>81357.342999999993</v>
      </c>
    </row>
    <row r="28" spans="1:7" ht="17.100000000000001" customHeight="1" x14ac:dyDescent="0.2">
      <c r="A28" s="165" t="s">
        <v>230</v>
      </c>
      <c r="B28" s="176" t="s">
        <v>226</v>
      </c>
      <c r="C28" s="162">
        <v>107.2</v>
      </c>
      <c r="D28" s="163">
        <v>105.64</v>
      </c>
      <c r="E28" s="163">
        <v>104.3</v>
      </c>
      <c r="F28" s="163">
        <v>103.75</v>
      </c>
      <c r="G28" s="164">
        <v>103.55</v>
      </c>
    </row>
    <row r="29" spans="1:7" ht="17.100000000000001" customHeight="1" x14ac:dyDescent="0.2">
      <c r="A29" s="165" t="s">
        <v>236</v>
      </c>
      <c r="B29" s="176" t="s">
        <v>226</v>
      </c>
      <c r="C29" s="162">
        <v>107.68300000000001</v>
      </c>
      <c r="D29" s="163">
        <v>108.65</v>
      </c>
      <c r="E29" s="163">
        <v>105.15</v>
      </c>
      <c r="F29" s="163">
        <v>104.03</v>
      </c>
      <c r="G29" s="164">
        <v>104.03</v>
      </c>
    </row>
    <row r="30" spans="1:7" ht="17.100000000000001" customHeight="1" x14ac:dyDescent="0.2">
      <c r="A30" s="177" t="s">
        <v>239</v>
      </c>
      <c r="B30" s="178" t="s">
        <v>240</v>
      </c>
      <c r="C30" s="169">
        <v>27.635357600322287</v>
      </c>
      <c r="D30" s="170">
        <v>29.127191905550951</v>
      </c>
      <c r="E30" s="170">
        <v>29.838024854717293</v>
      </c>
      <c r="F30" s="170">
        <v>29.871527238122397</v>
      </c>
      <c r="G30" s="171">
        <v>29.794015505378812</v>
      </c>
    </row>
    <row r="31" spans="1:7" ht="17.100000000000001" customHeight="1" x14ac:dyDescent="0.25">
      <c r="A31" s="155" t="s">
        <v>241</v>
      </c>
      <c r="B31" s="156"/>
      <c r="C31" s="157" t="s">
        <v>222</v>
      </c>
      <c r="D31" s="158" t="s">
        <v>222</v>
      </c>
      <c r="E31" s="158" t="s">
        <v>222</v>
      </c>
      <c r="F31" s="158" t="s">
        <v>222</v>
      </c>
      <c r="G31" s="159" t="s">
        <v>222</v>
      </c>
    </row>
    <row r="32" spans="1:7" ht="17.100000000000001" customHeight="1" x14ac:dyDescent="0.2">
      <c r="A32" s="165" t="s">
        <v>228</v>
      </c>
      <c r="B32" s="176" t="s">
        <v>229</v>
      </c>
      <c r="C32" s="173">
        <v>17224.2</v>
      </c>
      <c r="D32" s="174">
        <v>19729.284800000001</v>
      </c>
      <c r="E32" s="174">
        <v>21422.598000000002</v>
      </c>
      <c r="F32" s="174">
        <v>22910.4617</v>
      </c>
      <c r="G32" s="175">
        <v>24370.012699999999</v>
      </c>
    </row>
    <row r="33" spans="1:7" ht="17.100000000000001" customHeight="1" x14ac:dyDescent="0.2">
      <c r="A33" s="165" t="s">
        <v>230</v>
      </c>
      <c r="B33" s="176" t="s">
        <v>226</v>
      </c>
      <c r="C33" s="162">
        <v>103.3</v>
      </c>
      <c r="D33" s="163">
        <v>102.74</v>
      </c>
      <c r="E33" s="163">
        <v>102.34</v>
      </c>
      <c r="F33" s="163">
        <v>102.34</v>
      </c>
      <c r="G33" s="164">
        <v>102.25</v>
      </c>
    </row>
    <row r="34" spans="1:7" ht="17.100000000000001" customHeight="1" x14ac:dyDescent="0.2">
      <c r="A34" s="165" t="s">
        <v>236</v>
      </c>
      <c r="B34" s="176" t="s">
        <v>226</v>
      </c>
      <c r="C34" s="162">
        <v>110.28919999999999</v>
      </c>
      <c r="D34" s="163">
        <v>111.4892</v>
      </c>
      <c r="E34" s="163">
        <v>106.1</v>
      </c>
      <c r="F34" s="163">
        <v>104.5</v>
      </c>
      <c r="G34" s="164">
        <v>104.03</v>
      </c>
    </row>
    <row r="35" spans="1:7" ht="17.100000000000001" customHeight="1" thickBot="1" x14ac:dyDescent="0.25">
      <c r="A35" s="179" t="s">
        <v>239</v>
      </c>
      <c r="B35" s="180" t="s">
        <v>240</v>
      </c>
      <c r="C35" s="181">
        <v>8.5627744716045253</v>
      </c>
      <c r="D35" s="182">
        <v>9.0066273284651839</v>
      </c>
      <c r="E35" s="182">
        <v>9.1348381805008767</v>
      </c>
      <c r="F35" s="182">
        <v>9.0615650656937099</v>
      </c>
      <c r="G35" s="183">
        <v>8.9245851631373796</v>
      </c>
    </row>
    <row r="36" spans="1:7" ht="17.100000000000001" customHeight="1" x14ac:dyDescent="0.25">
      <c r="A36" s="184" t="s">
        <v>242</v>
      </c>
      <c r="B36" s="185"/>
      <c r="C36" s="186" t="s">
        <v>222</v>
      </c>
      <c r="D36" s="187" t="s">
        <v>222</v>
      </c>
      <c r="E36" s="187" t="s">
        <v>222</v>
      </c>
      <c r="F36" s="187" t="s">
        <v>222</v>
      </c>
      <c r="G36" s="188" t="s">
        <v>222</v>
      </c>
    </row>
    <row r="37" spans="1:7" ht="17.100000000000001" customHeight="1" x14ac:dyDescent="0.2">
      <c r="A37" s="165" t="s">
        <v>228</v>
      </c>
      <c r="B37" s="161" t="s">
        <v>229</v>
      </c>
      <c r="C37" s="173">
        <v>52836.810700000002</v>
      </c>
      <c r="D37" s="174">
        <v>53445.803099999997</v>
      </c>
      <c r="E37" s="174">
        <v>55834.706299999998</v>
      </c>
      <c r="F37" s="174">
        <v>60089.956599999998</v>
      </c>
      <c r="G37" s="175">
        <v>64711.586499999998</v>
      </c>
    </row>
    <row r="38" spans="1:7" ht="17.100000000000001" customHeight="1" x14ac:dyDescent="0.2">
      <c r="A38" s="160" t="s">
        <v>230</v>
      </c>
      <c r="B38" s="161" t="s">
        <v>226</v>
      </c>
      <c r="C38" s="162">
        <v>100.9597</v>
      </c>
      <c r="D38" s="163">
        <v>101.15260000000001</v>
      </c>
      <c r="E38" s="163">
        <v>104.46980000000001</v>
      </c>
      <c r="F38" s="163">
        <v>107.6212</v>
      </c>
      <c r="G38" s="164">
        <v>107.69119999999999</v>
      </c>
    </row>
    <row r="39" spans="1:7" ht="17.100000000000001" customHeight="1" x14ac:dyDescent="0.2">
      <c r="A39" s="165" t="s">
        <v>239</v>
      </c>
      <c r="B39" s="161" t="s">
        <v>240</v>
      </c>
      <c r="C39" s="162">
        <v>26.267094774965503</v>
      </c>
      <c r="D39" s="163">
        <v>24.398574792342657</v>
      </c>
      <c r="E39" s="163">
        <v>23.808550527171953</v>
      </c>
      <c r="F39" s="163">
        <v>23.76683013444514</v>
      </c>
      <c r="G39" s="164">
        <v>23.698143774909937</v>
      </c>
    </row>
    <row r="40" spans="1:7" ht="17.100000000000001" customHeight="1" x14ac:dyDescent="0.25">
      <c r="A40" s="155" t="s">
        <v>243</v>
      </c>
      <c r="B40" s="156"/>
      <c r="C40" s="157" t="s">
        <v>222</v>
      </c>
      <c r="D40" s="158"/>
      <c r="E40" s="158"/>
      <c r="F40" s="158"/>
      <c r="G40" s="159"/>
    </row>
    <row r="41" spans="1:7" ht="17.100000000000001" customHeight="1" x14ac:dyDescent="0.2">
      <c r="A41" s="165" t="s">
        <v>228</v>
      </c>
      <c r="B41" s="161" t="s">
        <v>229</v>
      </c>
      <c r="C41" s="173">
        <v>62556.7304</v>
      </c>
      <c r="D41" s="174">
        <v>63666.799599999998</v>
      </c>
      <c r="E41" s="174">
        <v>66745.688399999999</v>
      </c>
      <c r="F41" s="174">
        <v>72031.707699999999</v>
      </c>
      <c r="G41" s="175">
        <v>77328.178499999995</v>
      </c>
    </row>
    <row r="42" spans="1:7" ht="17.100000000000001" customHeight="1" x14ac:dyDescent="0.2">
      <c r="A42" s="160" t="s">
        <v>230</v>
      </c>
      <c r="B42" s="161" t="s">
        <v>226</v>
      </c>
      <c r="C42" s="162">
        <v>99.915800000000004</v>
      </c>
      <c r="D42" s="163">
        <v>101.7745</v>
      </c>
      <c r="E42" s="163">
        <v>104.8359</v>
      </c>
      <c r="F42" s="163">
        <v>107.9196</v>
      </c>
      <c r="G42" s="164">
        <v>107.35299999999999</v>
      </c>
    </row>
    <row r="43" spans="1:7" ht="17.100000000000001" customHeight="1" x14ac:dyDescent="0.2">
      <c r="A43" s="165" t="s">
        <v>239</v>
      </c>
      <c r="B43" s="161" t="s">
        <v>240</v>
      </c>
      <c r="C43" s="162">
        <v>31.099219359747725</v>
      </c>
      <c r="D43" s="163">
        <v>29.064567874922464</v>
      </c>
      <c r="E43" s="163">
        <v>28.461116750645022</v>
      </c>
      <c r="F43" s="163">
        <v>28.490041565446965</v>
      </c>
      <c r="G43" s="164">
        <v>28.318488095557655</v>
      </c>
    </row>
    <row r="44" spans="1:7" ht="17.100000000000001" customHeight="1" x14ac:dyDescent="0.25">
      <c r="A44" s="155" t="s">
        <v>244</v>
      </c>
      <c r="B44" s="156"/>
      <c r="C44" s="157" t="s">
        <v>222</v>
      </c>
      <c r="D44" s="158"/>
      <c r="E44" s="158"/>
      <c r="F44" s="158"/>
      <c r="G44" s="159"/>
    </row>
    <row r="45" spans="1:7" ht="17.100000000000001" customHeight="1" x14ac:dyDescent="0.2">
      <c r="A45" s="165" t="s">
        <v>228</v>
      </c>
      <c r="B45" s="161" t="s">
        <v>229</v>
      </c>
      <c r="C45" s="173">
        <v>11744.4118</v>
      </c>
      <c r="D45" s="174">
        <v>13078.7448</v>
      </c>
      <c r="E45" s="174">
        <v>14502.2009</v>
      </c>
      <c r="F45" s="174">
        <v>15990.670400000001</v>
      </c>
      <c r="G45" s="175">
        <v>17565.8295</v>
      </c>
    </row>
    <row r="46" spans="1:7" ht="17.100000000000001" customHeight="1" x14ac:dyDescent="0.2">
      <c r="A46" s="160" t="s">
        <v>230</v>
      </c>
      <c r="B46" s="161" t="s">
        <v>226</v>
      </c>
      <c r="C46" s="162">
        <v>110.1232</v>
      </c>
      <c r="D46" s="163">
        <v>111.3614</v>
      </c>
      <c r="E46" s="163">
        <v>110.8837</v>
      </c>
      <c r="F46" s="163">
        <v>110.2637</v>
      </c>
      <c r="G46" s="164">
        <v>109.8505</v>
      </c>
    </row>
    <row r="47" spans="1:7" ht="17.100000000000001" customHeight="1" x14ac:dyDescent="0.2">
      <c r="A47" s="165" t="s">
        <v>239</v>
      </c>
      <c r="B47" s="161" t="s">
        <v>240</v>
      </c>
      <c r="C47" s="162">
        <v>5.8385730277778336</v>
      </c>
      <c r="D47" s="163">
        <v>5.9705854283020896</v>
      </c>
      <c r="E47" s="163">
        <v>6.1839025538645771</v>
      </c>
      <c r="F47" s="163">
        <v>6.3246433952774721</v>
      </c>
      <c r="G47" s="164">
        <v>6.4328132801465818</v>
      </c>
    </row>
    <row r="48" spans="1:7" ht="17.100000000000001" customHeight="1" x14ac:dyDescent="0.25">
      <c r="A48" s="155" t="s">
        <v>245</v>
      </c>
      <c r="B48" s="156"/>
      <c r="C48" s="157" t="s">
        <v>222</v>
      </c>
      <c r="D48" s="158"/>
      <c r="E48" s="158"/>
      <c r="F48" s="158"/>
      <c r="G48" s="159"/>
    </row>
    <row r="49" spans="1:7" ht="17.100000000000001" customHeight="1" x14ac:dyDescent="0.2">
      <c r="A49" s="165" t="s">
        <v>228</v>
      </c>
      <c r="B49" s="161" t="s">
        <v>229</v>
      </c>
      <c r="C49" s="173">
        <v>197499.6833</v>
      </c>
      <c r="D49" s="174">
        <v>219938.46890000001</v>
      </c>
      <c r="E49" s="174">
        <v>243875.99189999999</v>
      </c>
      <c r="F49" s="174">
        <v>268906.8124</v>
      </c>
      <c r="G49" s="175">
        <v>295395.4448</v>
      </c>
    </row>
    <row r="50" spans="1:7" ht="17.100000000000001" customHeight="1" x14ac:dyDescent="0.2">
      <c r="A50" s="160" t="s">
        <v>230</v>
      </c>
      <c r="B50" s="161" t="s">
        <v>226</v>
      </c>
      <c r="C50" s="162">
        <v>110.1232</v>
      </c>
      <c r="D50" s="163">
        <v>111.3614</v>
      </c>
      <c r="E50" s="163">
        <v>110.8837</v>
      </c>
      <c r="F50" s="163">
        <v>110.2637</v>
      </c>
      <c r="G50" s="164">
        <v>109.8505</v>
      </c>
    </row>
    <row r="51" spans="1:7" ht="17.100000000000001" customHeight="1" x14ac:dyDescent="0.2">
      <c r="A51" s="165" t="s">
        <v>239</v>
      </c>
      <c r="B51" s="161" t="s">
        <v>240</v>
      </c>
      <c r="C51" s="162">
        <v>98.184255077810221</v>
      </c>
      <c r="D51" s="163">
        <v>100.40423890964003</v>
      </c>
      <c r="E51" s="163">
        <v>103.99148236435387</v>
      </c>
      <c r="F51" s="163">
        <v>106.3582484315841</v>
      </c>
      <c r="G51" s="164">
        <v>108.17728477919286</v>
      </c>
    </row>
    <row r="52" spans="1:7" ht="17.100000000000001" customHeight="1" x14ac:dyDescent="0.25">
      <c r="A52" s="155" t="s">
        <v>246</v>
      </c>
      <c r="B52" s="156"/>
      <c r="C52" s="157" t="s">
        <v>222</v>
      </c>
      <c r="D52" s="158" t="s">
        <v>222</v>
      </c>
      <c r="E52" s="158" t="s">
        <v>222</v>
      </c>
      <c r="F52" s="158" t="s">
        <v>222</v>
      </c>
      <c r="G52" s="159" t="s">
        <v>222</v>
      </c>
    </row>
    <row r="53" spans="1:7" ht="17.100000000000001" customHeight="1" x14ac:dyDescent="0.2">
      <c r="A53" s="165" t="s">
        <v>228</v>
      </c>
      <c r="B53" s="161" t="s">
        <v>229</v>
      </c>
      <c r="C53" s="189">
        <v>45553.207399999999</v>
      </c>
      <c r="D53" s="190">
        <v>53159.107900000003</v>
      </c>
      <c r="E53" s="190">
        <v>58308.8802</v>
      </c>
      <c r="F53" s="190">
        <v>62443.941400000003</v>
      </c>
      <c r="G53" s="191">
        <v>66883.870200000005</v>
      </c>
    </row>
    <row r="54" spans="1:7" ht="17.100000000000001" customHeight="1" x14ac:dyDescent="0.2">
      <c r="A54" s="165" t="s">
        <v>247</v>
      </c>
      <c r="B54" s="161" t="s">
        <v>226</v>
      </c>
      <c r="C54" s="192">
        <v>118.8349</v>
      </c>
      <c r="D54" s="193">
        <v>116.69670000000001</v>
      </c>
      <c r="E54" s="193">
        <v>109.6875</v>
      </c>
      <c r="F54" s="193">
        <v>107.0916</v>
      </c>
      <c r="G54" s="194">
        <v>107.1103</v>
      </c>
    </row>
    <row r="55" spans="1:7" ht="17.100000000000001" customHeight="1" x14ac:dyDescent="0.2">
      <c r="A55" s="165" t="s">
        <v>239</v>
      </c>
      <c r="B55" s="161" t="s">
        <v>3</v>
      </c>
      <c r="C55" s="162">
        <v>22.64615142789949</v>
      </c>
      <c r="D55" s="163">
        <v>24.267695399124118</v>
      </c>
      <c r="E55" s="163">
        <v>24.863566273017476</v>
      </c>
      <c r="F55" s="163">
        <v>24.69788018084617</v>
      </c>
      <c r="G55" s="164">
        <v>24.493659604868661</v>
      </c>
    </row>
    <row r="56" spans="1:7" ht="31.5" x14ac:dyDescent="0.2">
      <c r="A56" s="155" t="s">
        <v>248</v>
      </c>
      <c r="B56" s="195" t="s">
        <v>249</v>
      </c>
      <c r="C56" s="196">
        <v>87951.5</v>
      </c>
      <c r="D56" s="197">
        <v>101516.21920000001</v>
      </c>
      <c r="E56" s="197">
        <v>111178.57739999999</v>
      </c>
      <c r="F56" s="197">
        <v>119061.0422</v>
      </c>
      <c r="G56" s="198">
        <v>127423.09239999999</v>
      </c>
    </row>
    <row r="57" spans="1:7" ht="17.100000000000001" customHeight="1" x14ac:dyDescent="0.2">
      <c r="A57" s="165" t="s">
        <v>250</v>
      </c>
      <c r="B57" s="199" t="s">
        <v>226</v>
      </c>
      <c r="C57" s="200">
        <v>118.28270000000001</v>
      </c>
      <c r="D57" s="201">
        <v>115.423</v>
      </c>
      <c r="E57" s="201">
        <v>109.518</v>
      </c>
      <c r="F57" s="201">
        <v>107.0899</v>
      </c>
      <c r="G57" s="202">
        <v>107.02330000000001</v>
      </c>
    </row>
    <row r="58" spans="1:7" ht="17.100000000000001" customHeight="1" x14ac:dyDescent="0.2">
      <c r="A58" s="155" t="s">
        <v>251</v>
      </c>
      <c r="B58" s="195" t="s">
        <v>226</v>
      </c>
      <c r="C58" s="203">
        <v>109.06659999999999</v>
      </c>
      <c r="D58" s="204">
        <v>105.2745</v>
      </c>
      <c r="E58" s="204">
        <v>103.66119999999999</v>
      </c>
      <c r="F58" s="204">
        <v>102.9513</v>
      </c>
      <c r="G58" s="205">
        <v>102.87739999999999</v>
      </c>
    </row>
    <row r="59" spans="1:7" ht="17.100000000000001" customHeight="1" x14ac:dyDescent="0.2">
      <c r="A59" s="206" t="s">
        <v>252</v>
      </c>
      <c r="B59" s="207" t="s">
        <v>226</v>
      </c>
      <c r="C59" s="203">
        <v>107.3306</v>
      </c>
      <c r="D59" s="208">
        <v>104.61239999999999</v>
      </c>
      <c r="E59" s="208">
        <v>102.8507</v>
      </c>
      <c r="F59" s="208">
        <v>102.64360000000001</v>
      </c>
      <c r="G59" s="209">
        <v>102.56489999999999</v>
      </c>
    </row>
    <row r="60" spans="1:7" ht="32.25" customHeight="1" x14ac:dyDescent="0.2">
      <c r="A60" s="155" t="s">
        <v>253</v>
      </c>
      <c r="B60" s="195" t="s">
        <v>249</v>
      </c>
      <c r="C60" s="196">
        <v>15453</v>
      </c>
      <c r="D60" s="197">
        <v>17733</v>
      </c>
      <c r="E60" s="197">
        <v>19187.106</v>
      </c>
      <c r="F60" s="197">
        <v>19954.590199999999</v>
      </c>
      <c r="G60" s="198">
        <v>20752.773799999999</v>
      </c>
    </row>
    <row r="61" spans="1:7" ht="17.100000000000001" customHeight="1" x14ac:dyDescent="0.2">
      <c r="A61" s="160" t="s">
        <v>250</v>
      </c>
      <c r="B61" s="161" t="s">
        <v>226</v>
      </c>
      <c r="C61" s="162">
        <v>107.4991</v>
      </c>
      <c r="D61" s="163">
        <v>114.7544</v>
      </c>
      <c r="E61" s="163">
        <v>108.2</v>
      </c>
      <c r="F61" s="163">
        <v>104</v>
      </c>
      <c r="G61" s="164">
        <v>104</v>
      </c>
    </row>
    <row r="62" spans="1:7" ht="17.100000000000001" customHeight="1" x14ac:dyDescent="0.2">
      <c r="A62" s="160" t="s">
        <v>254</v>
      </c>
      <c r="B62" s="161" t="s">
        <v>249</v>
      </c>
      <c r="C62" s="189">
        <v>16843.77</v>
      </c>
      <c r="D62" s="190">
        <v>19328.97</v>
      </c>
      <c r="E62" s="190">
        <v>20913.945500000002</v>
      </c>
      <c r="F62" s="190">
        <v>21750.503400000001</v>
      </c>
      <c r="G62" s="191">
        <v>22620.523499999999</v>
      </c>
    </row>
    <row r="63" spans="1:7" ht="17.100000000000001" customHeight="1" x14ac:dyDescent="0.2">
      <c r="A63" s="160" t="s">
        <v>255</v>
      </c>
      <c r="B63" s="161" t="s">
        <v>249</v>
      </c>
      <c r="C63" s="189">
        <v>13289.58</v>
      </c>
      <c r="D63" s="190">
        <v>15250.38</v>
      </c>
      <c r="E63" s="190">
        <v>16500.911199999999</v>
      </c>
      <c r="F63" s="190">
        <v>17160.9476</v>
      </c>
      <c r="G63" s="191">
        <v>17847.3855</v>
      </c>
    </row>
    <row r="64" spans="1:7" ht="17.100000000000001" customHeight="1" thickBot="1" x14ac:dyDescent="0.25">
      <c r="A64" s="210" t="s">
        <v>256</v>
      </c>
      <c r="B64" s="211" t="s">
        <v>249</v>
      </c>
      <c r="C64" s="212">
        <v>14989.41</v>
      </c>
      <c r="D64" s="213">
        <v>17201.009999999998</v>
      </c>
      <c r="E64" s="213">
        <v>18611.4928</v>
      </c>
      <c r="F64" s="213">
        <v>19355.952499999999</v>
      </c>
      <c r="G64" s="214">
        <v>20130.190600000002</v>
      </c>
    </row>
    <row r="65" spans="1:7" ht="17.100000000000001" customHeight="1" x14ac:dyDescent="0.2">
      <c r="A65" s="184" t="s">
        <v>257</v>
      </c>
      <c r="B65" s="215"/>
      <c r="C65" s="216"/>
      <c r="D65" s="217"/>
      <c r="E65" s="217"/>
      <c r="F65" s="217"/>
      <c r="G65" s="218"/>
    </row>
    <row r="66" spans="1:7" ht="17.100000000000001" customHeight="1" x14ac:dyDescent="0.2">
      <c r="A66" s="165" t="s">
        <v>258</v>
      </c>
      <c r="B66" s="176" t="s">
        <v>259</v>
      </c>
      <c r="C66" s="162">
        <v>433.77809999999999</v>
      </c>
      <c r="D66" s="163">
        <v>383.53140000000002</v>
      </c>
      <c r="E66" s="163">
        <v>385.2047</v>
      </c>
      <c r="F66" s="163">
        <v>411.04289999999997</v>
      </c>
      <c r="G66" s="164">
        <v>430.0521</v>
      </c>
    </row>
    <row r="67" spans="1:7" ht="17.100000000000001" customHeight="1" x14ac:dyDescent="0.2">
      <c r="A67" s="165" t="s">
        <v>260</v>
      </c>
      <c r="B67" s="176" t="s">
        <v>226</v>
      </c>
      <c r="C67" s="162">
        <v>102.18989999999999</v>
      </c>
      <c r="D67" s="163">
        <v>88.416499999999999</v>
      </c>
      <c r="E67" s="163">
        <v>100.4363</v>
      </c>
      <c r="F67" s="163">
        <v>106.7076</v>
      </c>
      <c r="G67" s="164">
        <v>104.6246</v>
      </c>
    </row>
    <row r="68" spans="1:7" ht="17.100000000000001" customHeight="1" x14ac:dyDescent="0.2">
      <c r="A68" s="165" t="s">
        <v>261</v>
      </c>
      <c r="B68" s="176" t="s">
        <v>226</v>
      </c>
      <c r="C68" s="162">
        <v>102.5</v>
      </c>
      <c r="D68" s="163">
        <v>101.73909999999999</v>
      </c>
      <c r="E68" s="163">
        <v>105.0921</v>
      </c>
      <c r="F68" s="163">
        <v>105.208</v>
      </c>
      <c r="G68" s="164">
        <v>104.68680000000001</v>
      </c>
    </row>
    <row r="69" spans="1:7" ht="17.100000000000001" customHeight="1" x14ac:dyDescent="0.2">
      <c r="A69" s="177" t="s">
        <v>239</v>
      </c>
      <c r="B69" s="219" t="s">
        <v>3</v>
      </c>
      <c r="C69" s="169">
        <v>19.93512569069863</v>
      </c>
      <c r="D69" s="170">
        <v>16.907491088232099</v>
      </c>
      <c r="E69" s="170">
        <v>16.7121410806744</v>
      </c>
      <c r="F69" s="170">
        <v>17.0476578163162</v>
      </c>
      <c r="G69" s="171">
        <v>16.8630514721734</v>
      </c>
    </row>
    <row r="70" spans="1:7" ht="17.100000000000001" customHeight="1" x14ac:dyDescent="0.2">
      <c r="A70" s="155" t="s">
        <v>262</v>
      </c>
      <c r="B70" s="195"/>
      <c r="C70" s="220" t="s">
        <v>222</v>
      </c>
      <c r="D70" s="221" t="s">
        <v>222</v>
      </c>
      <c r="E70" s="221" t="s">
        <v>222</v>
      </c>
      <c r="F70" s="221"/>
      <c r="G70" s="222" t="s">
        <v>222</v>
      </c>
    </row>
    <row r="71" spans="1:7" ht="17.100000000000001" customHeight="1" x14ac:dyDescent="0.2">
      <c r="A71" s="165" t="s">
        <v>258</v>
      </c>
      <c r="B71" s="161" t="s">
        <v>259</v>
      </c>
      <c r="C71" s="162">
        <v>198.81469999999999</v>
      </c>
      <c r="D71" s="163">
        <v>202.6653</v>
      </c>
      <c r="E71" s="163">
        <v>214.29150000000001</v>
      </c>
      <c r="F71" s="163">
        <v>236.24459999999999</v>
      </c>
      <c r="G71" s="164">
        <v>248.92930000000001</v>
      </c>
    </row>
    <row r="72" spans="1:7" ht="17.100000000000001" customHeight="1" x14ac:dyDescent="0.2">
      <c r="A72" s="165" t="s">
        <v>261</v>
      </c>
      <c r="B72" s="161" t="s">
        <v>226</v>
      </c>
      <c r="C72" s="162">
        <v>102.1005</v>
      </c>
      <c r="D72" s="163">
        <v>105.37260000000001</v>
      </c>
      <c r="E72" s="163">
        <v>105.15309999999999</v>
      </c>
      <c r="F72" s="163">
        <v>106.64230000000001</v>
      </c>
      <c r="G72" s="164">
        <v>105.33240000000001</v>
      </c>
    </row>
    <row r="73" spans="1:7" ht="17.100000000000001" customHeight="1" x14ac:dyDescent="0.2">
      <c r="A73" s="165" t="s">
        <v>239</v>
      </c>
      <c r="B73" s="161" t="s">
        <v>3</v>
      </c>
      <c r="C73" s="162">
        <v>9.1369205445331172</v>
      </c>
      <c r="D73" s="163">
        <v>8.9342404654322447</v>
      </c>
      <c r="E73" s="163">
        <v>9.2970562934183896</v>
      </c>
      <c r="F73" s="163">
        <v>9.798045658378939</v>
      </c>
      <c r="G73" s="164">
        <v>9.76092803367799</v>
      </c>
    </row>
    <row r="74" spans="1:7" ht="17.100000000000001" customHeight="1" x14ac:dyDescent="0.2">
      <c r="A74" s="155" t="s">
        <v>263</v>
      </c>
      <c r="B74" s="195"/>
      <c r="C74" s="220" t="s">
        <v>222</v>
      </c>
      <c r="D74" s="221" t="s">
        <v>222</v>
      </c>
      <c r="E74" s="221" t="s">
        <v>222</v>
      </c>
      <c r="F74" s="221" t="s">
        <v>222</v>
      </c>
      <c r="G74" s="222" t="s">
        <v>222</v>
      </c>
    </row>
    <row r="75" spans="1:7" ht="17.100000000000001" customHeight="1" x14ac:dyDescent="0.2">
      <c r="A75" s="165" t="s">
        <v>258</v>
      </c>
      <c r="B75" s="161" t="s">
        <v>259</v>
      </c>
      <c r="C75" s="162">
        <v>234.96340000000001</v>
      </c>
      <c r="D75" s="163">
        <v>180.86609999999999</v>
      </c>
      <c r="E75" s="163">
        <v>170.91319999999999</v>
      </c>
      <c r="F75" s="163">
        <v>174.79830000000001</v>
      </c>
      <c r="G75" s="164">
        <v>181.12280000000001</v>
      </c>
    </row>
    <row r="76" spans="1:7" ht="17.100000000000001" customHeight="1" x14ac:dyDescent="0.2">
      <c r="A76" s="165" t="s">
        <v>261</v>
      </c>
      <c r="B76" s="161" t="s">
        <v>226</v>
      </c>
      <c r="C76" s="162">
        <v>102.8505</v>
      </c>
      <c r="D76" s="163">
        <v>98.664500000000004</v>
      </c>
      <c r="E76" s="163">
        <v>105.129</v>
      </c>
      <c r="F76" s="163">
        <v>103.825</v>
      </c>
      <c r="G76" s="164">
        <v>104.23099999999999</v>
      </c>
    </row>
    <row r="77" spans="1:7" ht="17.100000000000001" customHeight="1" x14ac:dyDescent="0.2">
      <c r="A77" s="165" t="s">
        <v>239</v>
      </c>
      <c r="B77" s="161" t="s">
        <v>3</v>
      </c>
      <c r="C77" s="162">
        <v>10.798205146165515</v>
      </c>
      <c r="D77" s="163">
        <v>7.9732506227998305</v>
      </c>
      <c r="E77" s="163">
        <v>7.4150847872560304</v>
      </c>
      <c r="F77" s="163">
        <v>7.2496121579372392</v>
      </c>
      <c r="G77" s="164">
        <v>7.1021234384953962</v>
      </c>
    </row>
    <row r="78" spans="1:7" ht="17.100000000000001" customHeight="1" x14ac:dyDescent="0.2">
      <c r="A78" s="155" t="s">
        <v>264</v>
      </c>
      <c r="B78" s="195"/>
      <c r="C78" s="220" t="s">
        <v>222</v>
      </c>
      <c r="D78" s="221" t="s">
        <v>222</v>
      </c>
      <c r="E78" s="221" t="s">
        <v>222</v>
      </c>
      <c r="F78" s="221" t="s">
        <v>222</v>
      </c>
      <c r="G78" s="222" t="s">
        <v>222</v>
      </c>
    </row>
    <row r="79" spans="1:7" ht="17.100000000000001" customHeight="1" x14ac:dyDescent="0.2">
      <c r="A79" s="165" t="s">
        <v>258</v>
      </c>
      <c r="B79" s="161" t="s">
        <v>259</v>
      </c>
      <c r="C79" s="192">
        <v>41.966000000000001</v>
      </c>
      <c r="D79" s="193">
        <v>46.896700000000003</v>
      </c>
      <c r="E79" s="193">
        <v>50.9589</v>
      </c>
      <c r="F79" s="193">
        <v>54.732900000000001</v>
      </c>
      <c r="G79" s="194">
        <v>58.339799999999997</v>
      </c>
    </row>
    <row r="80" spans="1:7" ht="17.100000000000001" customHeight="1" x14ac:dyDescent="0.2">
      <c r="A80" s="165" t="s">
        <v>261</v>
      </c>
      <c r="B80" s="161" t="s">
        <v>226</v>
      </c>
      <c r="C80" s="192">
        <v>104.1</v>
      </c>
      <c r="D80" s="193">
        <v>108.6</v>
      </c>
      <c r="E80" s="193">
        <v>106.5</v>
      </c>
      <c r="F80" s="193">
        <v>105.3</v>
      </c>
      <c r="G80" s="194">
        <v>104.5</v>
      </c>
    </row>
    <row r="81" spans="1:7" ht="17.100000000000001" customHeight="1" x14ac:dyDescent="0.2">
      <c r="A81" s="165" t="s">
        <v>239</v>
      </c>
      <c r="B81" s="161" t="s">
        <v>3</v>
      </c>
      <c r="C81" s="162">
        <v>1.9286300639332847</v>
      </c>
      <c r="D81" s="163">
        <v>2.0673810209998278</v>
      </c>
      <c r="E81" s="163">
        <v>2.2108565293102078</v>
      </c>
      <c r="F81" s="163">
        <v>2.2700008940542502</v>
      </c>
      <c r="G81" s="164">
        <v>2.2875996891453405</v>
      </c>
    </row>
    <row r="82" spans="1:7" ht="17.100000000000001" customHeight="1" x14ac:dyDescent="0.2">
      <c r="A82" s="155" t="s">
        <v>265</v>
      </c>
      <c r="B82" s="195"/>
      <c r="C82" s="220" t="s">
        <v>222</v>
      </c>
      <c r="D82" s="221" t="s">
        <v>222</v>
      </c>
      <c r="E82" s="221" t="s">
        <v>222</v>
      </c>
      <c r="F82" s="221" t="s">
        <v>222</v>
      </c>
      <c r="G82" s="222" t="s">
        <v>222</v>
      </c>
    </row>
    <row r="83" spans="1:7" ht="17.100000000000001" customHeight="1" x14ac:dyDescent="0.2">
      <c r="A83" s="165" t="s">
        <v>258</v>
      </c>
      <c r="B83" s="176" t="s">
        <v>259</v>
      </c>
      <c r="C83" s="162">
        <v>299.56639999999999</v>
      </c>
      <c r="D83" s="163">
        <v>312.10559999999998</v>
      </c>
      <c r="E83" s="163">
        <v>312.52629999999999</v>
      </c>
      <c r="F83" s="163">
        <v>329.09890000000001</v>
      </c>
      <c r="G83" s="164">
        <v>342.41120000000001</v>
      </c>
    </row>
    <row r="84" spans="1:7" ht="17.100000000000001" customHeight="1" x14ac:dyDescent="0.2">
      <c r="A84" s="165" t="s">
        <v>260</v>
      </c>
      <c r="B84" s="176" t="s">
        <v>226</v>
      </c>
      <c r="C84" s="162">
        <v>98.910799999999995</v>
      </c>
      <c r="D84" s="163">
        <v>104.1858</v>
      </c>
      <c r="E84" s="163">
        <v>100.1348</v>
      </c>
      <c r="F84" s="163">
        <v>104.61750000000001</v>
      </c>
      <c r="G84" s="164">
        <v>103.8703</v>
      </c>
    </row>
    <row r="85" spans="1:7" ht="17.100000000000001" customHeight="1" x14ac:dyDescent="0.2">
      <c r="A85" s="165" t="s">
        <v>261</v>
      </c>
      <c r="B85" s="176" t="s">
        <v>226</v>
      </c>
      <c r="C85" s="162">
        <v>101.9</v>
      </c>
      <c r="D85" s="163">
        <v>105.85809999999999</v>
      </c>
      <c r="E85" s="163">
        <v>100.29600000000001</v>
      </c>
      <c r="F85" s="163">
        <v>102.15819999999999</v>
      </c>
      <c r="G85" s="164">
        <v>101.81359999999999</v>
      </c>
    </row>
    <row r="86" spans="1:7" ht="17.100000000000001" customHeight="1" x14ac:dyDescent="0.2">
      <c r="A86" s="165" t="s">
        <v>239</v>
      </c>
      <c r="B86" s="161" t="s">
        <v>3</v>
      </c>
      <c r="C86" s="162">
        <v>13.767163064963633</v>
      </c>
      <c r="D86" s="163">
        <v>13.758776075667663</v>
      </c>
      <c r="E86" s="163">
        <v>13.558982060761924</v>
      </c>
      <c r="F86" s="163">
        <v>13.649099485542887</v>
      </c>
      <c r="G86" s="164">
        <v>13.426507370266663</v>
      </c>
    </row>
    <row r="87" spans="1:7" ht="17.100000000000001" customHeight="1" x14ac:dyDescent="0.2">
      <c r="A87" s="155" t="s">
        <v>266</v>
      </c>
      <c r="B87" s="195"/>
      <c r="C87" s="220" t="s">
        <v>222</v>
      </c>
      <c r="D87" s="221" t="s">
        <v>222</v>
      </c>
      <c r="E87" s="221" t="s">
        <v>222</v>
      </c>
      <c r="F87" s="221" t="s">
        <v>222</v>
      </c>
      <c r="G87" s="222" t="s">
        <v>222</v>
      </c>
    </row>
    <row r="88" spans="1:7" ht="17.100000000000001" customHeight="1" x14ac:dyDescent="0.2">
      <c r="A88" s="165" t="s">
        <v>258</v>
      </c>
      <c r="B88" s="176" t="s">
        <v>259</v>
      </c>
      <c r="C88" s="192">
        <v>134.21170000000001</v>
      </c>
      <c r="D88" s="193">
        <v>71.425799999999995</v>
      </c>
      <c r="E88" s="193">
        <v>72.678399999999996</v>
      </c>
      <c r="F88" s="193">
        <v>81.944000000000003</v>
      </c>
      <c r="G88" s="194">
        <v>87.640900000000002</v>
      </c>
    </row>
    <row r="89" spans="1:7" ht="17.100000000000001" customHeight="1" x14ac:dyDescent="0.2">
      <c r="A89" s="165" t="s">
        <v>239</v>
      </c>
      <c r="B89" s="176" t="s">
        <v>3</v>
      </c>
      <c r="C89" s="162">
        <v>6.1679626257349955</v>
      </c>
      <c r="D89" s="163">
        <v>3.1487150125644119</v>
      </c>
      <c r="E89" s="163">
        <v>3.1531590199124979</v>
      </c>
      <c r="F89" s="163">
        <v>3.3985583307732914</v>
      </c>
      <c r="G89" s="164">
        <v>3.4365441019067235</v>
      </c>
    </row>
    <row r="90" spans="1:7" ht="17.100000000000001" customHeight="1" x14ac:dyDescent="0.2">
      <c r="A90" s="155" t="s">
        <v>267</v>
      </c>
      <c r="B90" s="195"/>
      <c r="C90" s="220" t="s">
        <v>222</v>
      </c>
      <c r="D90" s="221" t="s">
        <v>222</v>
      </c>
      <c r="E90" s="221" t="s">
        <v>222</v>
      </c>
      <c r="F90" s="221" t="s">
        <v>222</v>
      </c>
      <c r="G90" s="222" t="s">
        <v>222</v>
      </c>
    </row>
    <row r="91" spans="1:7" ht="17.100000000000001" customHeight="1" x14ac:dyDescent="0.2">
      <c r="A91" s="165" t="s">
        <v>258</v>
      </c>
      <c r="B91" s="161" t="s">
        <v>259</v>
      </c>
      <c r="C91" s="192">
        <v>63.906799999999997</v>
      </c>
      <c r="D91" s="193">
        <v>-3.8666999999999998</v>
      </c>
      <c r="E91" s="193">
        <v>-6.6839000000000004</v>
      </c>
      <c r="F91" s="193">
        <v>-1.143</v>
      </c>
      <c r="G91" s="194">
        <v>-1.8144</v>
      </c>
    </row>
    <row r="92" spans="1:7" ht="17.100000000000001" customHeight="1" x14ac:dyDescent="0.2">
      <c r="A92" s="165" t="s">
        <v>239</v>
      </c>
      <c r="B92" s="161" t="s">
        <v>3</v>
      </c>
      <c r="C92" s="162">
        <v>2.9369626785915175</v>
      </c>
      <c r="D92" s="163">
        <v>-0.17045852253783383</v>
      </c>
      <c r="E92" s="163">
        <v>-0.28998161177451826</v>
      </c>
      <c r="F92" s="163">
        <v>-4.7404961584421951E-2</v>
      </c>
      <c r="G92" s="164">
        <v>-7.1145613731711549E-2</v>
      </c>
    </row>
    <row r="93" spans="1:7" ht="17.100000000000001" customHeight="1" x14ac:dyDescent="0.2">
      <c r="A93" s="155" t="s">
        <v>268</v>
      </c>
      <c r="B93" s="195" t="s">
        <v>269</v>
      </c>
      <c r="C93" s="203">
        <v>76.104699999999994</v>
      </c>
      <c r="D93" s="204">
        <v>76.154200000000003</v>
      </c>
      <c r="E93" s="204">
        <v>76.273200000000003</v>
      </c>
      <c r="F93" s="204">
        <v>76.286799999999999</v>
      </c>
      <c r="G93" s="205">
        <v>76.3095</v>
      </c>
    </row>
    <row r="94" spans="1:7" ht="17.100000000000001" customHeight="1" x14ac:dyDescent="0.2">
      <c r="A94" s="155" t="s">
        <v>270</v>
      </c>
      <c r="B94" s="195" t="s">
        <v>269</v>
      </c>
      <c r="C94" s="203">
        <v>74.189800000000005</v>
      </c>
      <c r="D94" s="204">
        <v>74.2136</v>
      </c>
      <c r="E94" s="204">
        <v>74.328400000000002</v>
      </c>
      <c r="F94" s="204">
        <v>74.342299999999994</v>
      </c>
      <c r="G94" s="205">
        <v>74.364699999999999</v>
      </c>
    </row>
    <row r="95" spans="1:7" ht="17.100000000000001" customHeight="1" x14ac:dyDescent="0.2">
      <c r="A95" s="155" t="s">
        <v>271</v>
      </c>
      <c r="B95" s="195" t="s">
        <v>269</v>
      </c>
      <c r="C95" s="203">
        <v>1.9149</v>
      </c>
      <c r="D95" s="204">
        <v>1.9404999999999999</v>
      </c>
      <c r="E95" s="204">
        <v>1.9447000000000001</v>
      </c>
      <c r="F95" s="204">
        <v>1.9444999999999999</v>
      </c>
      <c r="G95" s="205">
        <v>1.9448000000000001</v>
      </c>
    </row>
    <row r="96" spans="1:7" ht="17.100000000000001" customHeight="1" x14ac:dyDescent="0.2">
      <c r="A96" s="155" t="s">
        <v>272</v>
      </c>
      <c r="B96" s="195" t="s">
        <v>273</v>
      </c>
      <c r="C96" s="203">
        <v>2.5160999999999998</v>
      </c>
      <c r="D96" s="204">
        <v>2.5482</v>
      </c>
      <c r="E96" s="204">
        <v>2.5497000000000001</v>
      </c>
      <c r="F96" s="204">
        <v>2.5489999999999999</v>
      </c>
      <c r="G96" s="205">
        <v>2.5485000000000002</v>
      </c>
    </row>
    <row r="97" spans="1:7" ht="17.100000000000001" customHeight="1" x14ac:dyDescent="0.2">
      <c r="A97" s="155" t="s">
        <v>274</v>
      </c>
      <c r="B97" s="195" t="s">
        <v>3</v>
      </c>
      <c r="C97" s="203">
        <v>103.5</v>
      </c>
      <c r="D97" s="204">
        <v>101.76730000000001</v>
      </c>
      <c r="E97" s="204">
        <v>101.00369999999999</v>
      </c>
      <c r="F97" s="204">
        <v>102.26090000000001</v>
      </c>
      <c r="G97" s="205">
        <v>102.839</v>
      </c>
    </row>
    <row r="98" spans="1:7" ht="16.5" customHeight="1" thickBot="1" x14ac:dyDescent="0.25">
      <c r="A98" s="223" t="s">
        <v>275</v>
      </c>
      <c r="B98" s="224" t="s">
        <v>276</v>
      </c>
      <c r="C98" s="225">
        <v>92.443399999999997</v>
      </c>
      <c r="D98" s="226">
        <v>96.566699999999997</v>
      </c>
      <c r="E98" s="226">
        <v>101.74469999999999</v>
      </c>
      <c r="F98" s="226">
        <v>104.8596</v>
      </c>
      <c r="G98" s="227">
        <v>107.0737</v>
      </c>
    </row>
  </sheetData>
  <mergeCells count="6">
    <mergeCell ref="A1:G2"/>
    <mergeCell ref="A3:G3"/>
    <mergeCell ref="A4:G4"/>
    <mergeCell ref="A5:A6"/>
    <mergeCell ref="B5:B6"/>
    <mergeCell ref="E6:G6"/>
  </mergeCells>
  <phoneticPr fontId="0" type="noConversion"/>
  <pageMargins left="0.75" right="0.75" top="1" bottom="1" header="0.5" footer="0.5"/>
  <headerFooter alignWithMargins="0">
    <oddHeader>&amp;A</oddHeader>
    <oddFooter>Страница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CCA69-4F0F-4217-A487-F2645B5B755F}">
  <dimension ref="A3:X42"/>
  <sheetViews>
    <sheetView topLeftCell="B4" zoomScale="120" zoomScaleNormal="120" workbookViewId="0">
      <selection activeCell="T11" sqref="T11"/>
    </sheetView>
  </sheetViews>
  <sheetFormatPr defaultColWidth="0" defaultRowHeight="12" x14ac:dyDescent="0.2"/>
  <cols>
    <col min="1" max="1" width="0.5703125" style="331" hidden="1"/>
    <col min="2" max="2" width="57.140625" style="331" customWidth="1"/>
    <col min="3" max="3" width="5.7109375" style="331" hidden="1"/>
    <col min="4" max="4" width="9.140625" style="331" hidden="1"/>
    <col min="5" max="5" width="8.140625" style="331" hidden="1"/>
    <col min="6" max="7" width="7.85546875" style="331" hidden="1"/>
    <col min="8" max="8" width="10.7109375" style="331" hidden="1"/>
    <col min="9" max="10" width="9.140625" style="331" hidden="1"/>
    <col min="11" max="11" width="9" style="331" hidden="1"/>
    <col min="12" max="12" width="8.85546875" style="356" hidden="1"/>
    <col min="13" max="16" width="9.140625" style="331" hidden="1"/>
    <col min="17" max="17" width="9.140625" style="331" hidden="1" customWidth="1"/>
    <col min="18" max="18" width="9.140625" style="331" customWidth="1"/>
    <col min="19" max="19" width="9" style="331" customWidth="1"/>
    <col min="20" max="254" width="9.140625" style="331" customWidth="1"/>
    <col min="255" max="257" width="0" style="331" hidden="1"/>
    <col min="258" max="258" width="42.5703125" style="331" customWidth="1"/>
    <col min="259" max="268" width="0" style="331" hidden="1"/>
    <col min="269" max="510" width="9.140625" style="331" customWidth="1"/>
    <col min="511" max="513" width="0" style="331" hidden="1"/>
    <col min="514" max="514" width="42.5703125" style="331" customWidth="1"/>
    <col min="515" max="524" width="0" style="331" hidden="1"/>
    <col min="525" max="766" width="9.140625" style="331" customWidth="1"/>
    <col min="767" max="769" width="0" style="331" hidden="1"/>
    <col min="770" max="770" width="42.5703125" style="331" customWidth="1"/>
    <col min="771" max="780" width="0" style="331" hidden="1"/>
    <col min="781" max="1022" width="9.140625" style="331" customWidth="1"/>
    <col min="1023" max="1025" width="0" style="331" hidden="1"/>
    <col min="1026" max="1026" width="42.5703125" style="331" customWidth="1"/>
    <col min="1027" max="1036" width="0" style="331" hidden="1"/>
    <col min="1037" max="1278" width="9.140625" style="331" customWidth="1"/>
    <col min="1279" max="1281" width="0" style="331" hidden="1"/>
    <col min="1282" max="1282" width="42.5703125" style="331" customWidth="1"/>
    <col min="1283" max="1292" width="0" style="331" hidden="1"/>
    <col min="1293" max="1534" width="9.140625" style="331" customWidth="1"/>
    <col min="1535" max="1537" width="0" style="331" hidden="1"/>
    <col min="1538" max="1538" width="42.5703125" style="331" customWidth="1"/>
    <col min="1539" max="1548" width="0" style="331" hidden="1"/>
    <col min="1549" max="1790" width="9.140625" style="331" customWidth="1"/>
    <col min="1791" max="1793" width="0" style="331" hidden="1"/>
    <col min="1794" max="1794" width="42.5703125" style="331" customWidth="1"/>
    <col min="1795" max="1804" width="0" style="331" hidden="1"/>
    <col min="1805" max="2046" width="9.140625" style="331" customWidth="1"/>
    <col min="2047" max="2049" width="0" style="331" hidden="1"/>
    <col min="2050" max="2050" width="42.5703125" style="331" customWidth="1"/>
    <col min="2051" max="2060" width="0" style="331" hidden="1"/>
    <col min="2061" max="2302" width="9.140625" style="331" customWidth="1"/>
    <col min="2303" max="2305" width="0" style="331" hidden="1"/>
    <col min="2306" max="2306" width="42.5703125" style="331" customWidth="1"/>
    <col min="2307" max="2316" width="0" style="331" hidden="1"/>
    <col min="2317" max="2558" width="9.140625" style="331" customWidth="1"/>
    <col min="2559" max="2561" width="0" style="331" hidden="1"/>
    <col min="2562" max="2562" width="42.5703125" style="331" customWidth="1"/>
    <col min="2563" max="2572" width="0" style="331" hidden="1"/>
    <col min="2573" max="2814" width="9.140625" style="331" customWidth="1"/>
    <col min="2815" max="2817" width="0" style="331" hidden="1"/>
    <col min="2818" max="2818" width="42.5703125" style="331" customWidth="1"/>
    <col min="2819" max="2828" width="0" style="331" hidden="1"/>
    <col min="2829" max="3070" width="9.140625" style="331" customWidth="1"/>
    <col min="3071" max="3073" width="0" style="331" hidden="1"/>
    <col min="3074" max="3074" width="42.5703125" style="331" customWidth="1"/>
    <col min="3075" max="3084" width="0" style="331" hidden="1"/>
    <col min="3085" max="3326" width="9.140625" style="331" customWidth="1"/>
    <col min="3327" max="3329" width="0" style="331" hidden="1"/>
    <col min="3330" max="3330" width="42.5703125" style="331" customWidth="1"/>
    <col min="3331" max="3340" width="0" style="331" hidden="1"/>
    <col min="3341" max="3582" width="9.140625" style="331" customWidth="1"/>
    <col min="3583" max="3585" width="0" style="331" hidden="1"/>
    <col min="3586" max="3586" width="42.5703125" style="331" customWidth="1"/>
    <col min="3587" max="3596" width="0" style="331" hidden="1"/>
    <col min="3597" max="3838" width="9.140625" style="331" customWidth="1"/>
    <col min="3839" max="3841" width="0" style="331" hidden="1"/>
    <col min="3842" max="3842" width="42.5703125" style="331" customWidth="1"/>
    <col min="3843" max="3852" width="0" style="331" hidden="1"/>
    <col min="3853" max="4094" width="9.140625" style="331" customWidth="1"/>
    <col min="4095" max="4097" width="0" style="331" hidden="1"/>
    <col min="4098" max="4098" width="42.5703125" style="331" customWidth="1"/>
    <col min="4099" max="4108" width="0" style="331" hidden="1"/>
    <col min="4109" max="4350" width="9.140625" style="331" customWidth="1"/>
    <col min="4351" max="4353" width="0" style="331" hidden="1"/>
    <col min="4354" max="4354" width="42.5703125" style="331" customWidth="1"/>
    <col min="4355" max="4364" width="0" style="331" hidden="1"/>
    <col min="4365" max="4606" width="9.140625" style="331" customWidth="1"/>
    <col min="4607" max="4609" width="0" style="331" hidden="1"/>
    <col min="4610" max="4610" width="42.5703125" style="331" customWidth="1"/>
    <col min="4611" max="4620" width="0" style="331" hidden="1"/>
    <col min="4621" max="4862" width="9.140625" style="331" customWidth="1"/>
    <col min="4863" max="4865" width="0" style="331" hidden="1"/>
    <col min="4866" max="4866" width="42.5703125" style="331" customWidth="1"/>
    <col min="4867" max="4876" width="0" style="331" hidden="1"/>
    <col min="4877" max="5118" width="9.140625" style="331" customWidth="1"/>
    <col min="5119" max="5121" width="0" style="331" hidden="1"/>
    <col min="5122" max="5122" width="42.5703125" style="331" customWidth="1"/>
    <col min="5123" max="5132" width="0" style="331" hidden="1"/>
    <col min="5133" max="5374" width="9.140625" style="331" customWidth="1"/>
    <col min="5375" max="5377" width="0" style="331" hidden="1"/>
    <col min="5378" max="5378" width="42.5703125" style="331" customWidth="1"/>
    <col min="5379" max="5388" width="0" style="331" hidden="1"/>
    <col min="5389" max="5630" width="9.140625" style="331" customWidth="1"/>
    <col min="5631" max="5633" width="0" style="331" hidden="1"/>
    <col min="5634" max="5634" width="42.5703125" style="331" customWidth="1"/>
    <col min="5635" max="5644" width="0" style="331" hidden="1"/>
    <col min="5645" max="5886" width="9.140625" style="331" customWidth="1"/>
    <col min="5887" max="5889" width="0" style="331" hidden="1"/>
    <col min="5890" max="5890" width="42.5703125" style="331" customWidth="1"/>
    <col min="5891" max="5900" width="0" style="331" hidden="1"/>
    <col min="5901" max="6142" width="9.140625" style="331" customWidth="1"/>
    <col min="6143" max="6145" width="0" style="331" hidden="1"/>
    <col min="6146" max="6146" width="42.5703125" style="331" customWidth="1"/>
    <col min="6147" max="6156" width="0" style="331" hidden="1"/>
    <col min="6157" max="6398" width="9.140625" style="331" customWidth="1"/>
    <col min="6399" max="6401" width="0" style="331" hidden="1"/>
    <col min="6402" max="6402" width="42.5703125" style="331" customWidth="1"/>
    <col min="6403" max="6412" width="0" style="331" hidden="1"/>
    <col min="6413" max="6654" width="9.140625" style="331" customWidth="1"/>
    <col min="6655" max="6657" width="0" style="331" hidden="1"/>
    <col min="6658" max="6658" width="42.5703125" style="331" customWidth="1"/>
    <col min="6659" max="6668" width="0" style="331" hidden="1"/>
    <col min="6669" max="6910" width="9.140625" style="331" customWidth="1"/>
    <col min="6911" max="6913" width="0" style="331" hidden="1"/>
    <col min="6914" max="6914" width="42.5703125" style="331" customWidth="1"/>
    <col min="6915" max="6924" width="0" style="331" hidden="1"/>
    <col min="6925" max="7166" width="9.140625" style="331" customWidth="1"/>
    <col min="7167" max="7169" width="0" style="331" hidden="1"/>
    <col min="7170" max="7170" width="42.5703125" style="331" customWidth="1"/>
    <col min="7171" max="7180" width="0" style="331" hidden="1"/>
    <col min="7181" max="7422" width="9.140625" style="331" customWidth="1"/>
    <col min="7423" max="7425" width="0" style="331" hidden="1"/>
    <col min="7426" max="7426" width="42.5703125" style="331" customWidth="1"/>
    <col min="7427" max="7436" width="0" style="331" hidden="1"/>
    <col min="7437" max="7678" width="9.140625" style="331" customWidth="1"/>
    <col min="7679" max="7681" width="0" style="331" hidden="1"/>
    <col min="7682" max="7682" width="42.5703125" style="331" customWidth="1"/>
    <col min="7683" max="7692" width="0" style="331" hidden="1"/>
    <col min="7693" max="7934" width="9.140625" style="331" customWidth="1"/>
    <col min="7935" max="7937" width="0" style="331" hidden="1"/>
    <col min="7938" max="7938" width="42.5703125" style="331" customWidth="1"/>
    <col min="7939" max="7948" width="0" style="331" hidden="1"/>
    <col min="7949" max="8190" width="9.140625" style="331" customWidth="1"/>
    <col min="8191" max="8193" width="0" style="331" hidden="1"/>
    <col min="8194" max="8194" width="42.5703125" style="331" customWidth="1"/>
    <col min="8195" max="8204" width="0" style="331" hidden="1"/>
    <col min="8205" max="8446" width="9.140625" style="331" customWidth="1"/>
    <col min="8447" max="8449" width="0" style="331" hidden="1"/>
    <col min="8450" max="8450" width="42.5703125" style="331" customWidth="1"/>
    <col min="8451" max="8460" width="0" style="331" hidden="1"/>
    <col min="8461" max="8702" width="9.140625" style="331" customWidth="1"/>
    <col min="8703" max="8705" width="0" style="331" hidden="1"/>
    <col min="8706" max="8706" width="42.5703125" style="331" customWidth="1"/>
    <col min="8707" max="8716" width="0" style="331" hidden="1"/>
    <col min="8717" max="8958" width="9.140625" style="331" customWidth="1"/>
    <col min="8959" max="8961" width="0" style="331" hidden="1"/>
    <col min="8962" max="8962" width="42.5703125" style="331" customWidth="1"/>
    <col min="8963" max="8972" width="0" style="331" hidden="1"/>
    <col min="8973" max="9214" width="9.140625" style="331" customWidth="1"/>
    <col min="9215" max="9217" width="0" style="331" hidden="1"/>
    <col min="9218" max="9218" width="42.5703125" style="331" customWidth="1"/>
    <col min="9219" max="9228" width="0" style="331" hidden="1"/>
    <col min="9229" max="9470" width="9.140625" style="331" customWidth="1"/>
    <col min="9471" max="9473" width="0" style="331" hidden="1"/>
    <col min="9474" max="9474" width="42.5703125" style="331" customWidth="1"/>
    <col min="9475" max="9484" width="0" style="331" hidden="1"/>
    <col min="9485" max="9726" width="9.140625" style="331" customWidth="1"/>
    <col min="9727" max="9729" width="0" style="331" hidden="1"/>
    <col min="9730" max="9730" width="42.5703125" style="331" customWidth="1"/>
    <col min="9731" max="9740" width="0" style="331" hidden="1"/>
    <col min="9741" max="9982" width="9.140625" style="331" customWidth="1"/>
    <col min="9983" max="9985" width="0" style="331" hidden="1"/>
    <col min="9986" max="9986" width="42.5703125" style="331" customWidth="1"/>
    <col min="9987" max="9996" width="0" style="331" hidden="1"/>
    <col min="9997" max="10238" width="9.140625" style="331" customWidth="1"/>
    <col min="10239" max="10241" width="0" style="331" hidden="1"/>
    <col min="10242" max="10242" width="42.5703125" style="331" customWidth="1"/>
    <col min="10243" max="10252" width="0" style="331" hidden="1"/>
    <col min="10253" max="10494" width="9.140625" style="331" customWidth="1"/>
    <col min="10495" max="10497" width="0" style="331" hidden="1"/>
    <col min="10498" max="10498" width="42.5703125" style="331" customWidth="1"/>
    <col min="10499" max="10508" width="0" style="331" hidden="1"/>
    <col min="10509" max="10750" width="9.140625" style="331" customWidth="1"/>
    <col min="10751" max="10753" width="0" style="331" hidden="1"/>
    <col min="10754" max="10754" width="42.5703125" style="331" customWidth="1"/>
    <col min="10755" max="10764" width="0" style="331" hidden="1"/>
    <col min="10765" max="11006" width="9.140625" style="331" customWidth="1"/>
    <col min="11007" max="11009" width="0" style="331" hidden="1"/>
    <col min="11010" max="11010" width="42.5703125" style="331" customWidth="1"/>
    <col min="11011" max="11020" width="0" style="331" hidden="1"/>
    <col min="11021" max="11262" width="9.140625" style="331" customWidth="1"/>
    <col min="11263" max="11265" width="0" style="331" hidden="1"/>
    <col min="11266" max="11266" width="42.5703125" style="331" customWidth="1"/>
    <col min="11267" max="11276" width="0" style="331" hidden="1"/>
    <col min="11277" max="11518" width="9.140625" style="331" customWidth="1"/>
    <col min="11519" max="11521" width="0" style="331" hidden="1"/>
    <col min="11522" max="11522" width="42.5703125" style="331" customWidth="1"/>
    <col min="11523" max="11532" width="0" style="331" hidden="1"/>
    <col min="11533" max="11774" width="9.140625" style="331" customWidth="1"/>
    <col min="11775" max="11777" width="0" style="331" hidden="1"/>
    <col min="11778" max="11778" width="42.5703125" style="331" customWidth="1"/>
    <col min="11779" max="11788" width="0" style="331" hidden="1"/>
    <col min="11789" max="12030" width="9.140625" style="331" customWidth="1"/>
    <col min="12031" max="12033" width="0" style="331" hidden="1"/>
    <col min="12034" max="12034" width="42.5703125" style="331" customWidth="1"/>
    <col min="12035" max="12044" width="0" style="331" hidden="1"/>
    <col min="12045" max="12286" width="9.140625" style="331" customWidth="1"/>
    <col min="12287" max="12289" width="0" style="331" hidden="1"/>
    <col min="12290" max="12290" width="42.5703125" style="331" customWidth="1"/>
    <col min="12291" max="12300" width="0" style="331" hidden="1"/>
    <col min="12301" max="12542" width="9.140625" style="331" customWidth="1"/>
    <col min="12543" max="12545" width="0" style="331" hidden="1"/>
    <col min="12546" max="12546" width="42.5703125" style="331" customWidth="1"/>
    <col min="12547" max="12556" width="0" style="331" hidden="1"/>
    <col min="12557" max="12798" width="9.140625" style="331" customWidth="1"/>
    <col min="12799" max="12801" width="0" style="331" hidden="1"/>
    <col min="12802" max="12802" width="42.5703125" style="331" customWidth="1"/>
    <col min="12803" max="12812" width="0" style="331" hidden="1"/>
    <col min="12813" max="13054" width="9.140625" style="331" customWidth="1"/>
    <col min="13055" max="13057" width="0" style="331" hidden="1"/>
    <col min="13058" max="13058" width="42.5703125" style="331" customWidth="1"/>
    <col min="13059" max="13068" width="0" style="331" hidden="1"/>
    <col min="13069" max="13310" width="9.140625" style="331" customWidth="1"/>
    <col min="13311" max="13313" width="0" style="331" hidden="1"/>
    <col min="13314" max="13314" width="42.5703125" style="331" customWidth="1"/>
    <col min="13315" max="13324" width="0" style="331" hidden="1"/>
    <col min="13325" max="13566" width="9.140625" style="331" customWidth="1"/>
    <col min="13567" max="13569" width="0" style="331" hidden="1"/>
    <col min="13570" max="13570" width="42.5703125" style="331" customWidth="1"/>
    <col min="13571" max="13580" width="0" style="331" hidden="1"/>
    <col min="13581" max="13822" width="9.140625" style="331" customWidth="1"/>
    <col min="13823" max="13825" width="0" style="331" hidden="1"/>
    <col min="13826" max="13826" width="42.5703125" style="331" customWidth="1"/>
    <col min="13827" max="13836" width="0" style="331" hidden="1"/>
    <col min="13837" max="14078" width="9.140625" style="331" customWidth="1"/>
    <col min="14079" max="14081" width="0" style="331" hidden="1"/>
    <col min="14082" max="14082" width="42.5703125" style="331" customWidth="1"/>
    <col min="14083" max="14092" width="0" style="331" hidden="1"/>
    <col min="14093" max="14334" width="9.140625" style="331" customWidth="1"/>
    <col min="14335" max="14337" width="0" style="331" hidden="1"/>
    <col min="14338" max="14338" width="42.5703125" style="331" customWidth="1"/>
    <col min="14339" max="14348" width="0" style="331" hidden="1"/>
    <col min="14349" max="14590" width="9.140625" style="331" customWidth="1"/>
    <col min="14591" max="14593" width="0" style="331" hidden="1"/>
    <col min="14594" max="14594" width="42.5703125" style="331" customWidth="1"/>
    <col min="14595" max="14604" width="0" style="331" hidden="1"/>
    <col min="14605" max="14846" width="9.140625" style="331" customWidth="1"/>
    <col min="14847" max="14849" width="0" style="331" hidden="1"/>
    <col min="14850" max="14850" width="42.5703125" style="331" customWidth="1"/>
    <col min="14851" max="14860" width="0" style="331" hidden="1"/>
    <col min="14861" max="15102" width="9.140625" style="331" customWidth="1"/>
    <col min="15103" max="15105" width="0" style="331" hidden="1"/>
    <col min="15106" max="15106" width="42.5703125" style="331" customWidth="1"/>
    <col min="15107" max="15116" width="0" style="331" hidden="1"/>
    <col min="15117" max="15358" width="9.140625" style="331" customWidth="1"/>
    <col min="15359" max="15361" width="0" style="331" hidden="1"/>
    <col min="15362" max="15362" width="42.5703125" style="331" customWidth="1"/>
    <col min="15363" max="15372" width="0" style="331" hidden="1"/>
    <col min="15373" max="15614" width="9.140625" style="331" customWidth="1"/>
    <col min="15615" max="15617" width="0" style="331" hidden="1"/>
    <col min="15618" max="15618" width="42.5703125" style="331" customWidth="1"/>
    <col min="15619" max="15628" width="0" style="331" hidden="1"/>
    <col min="15629" max="15870" width="9.140625" style="331" customWidth="1"/>
    <col min="15871" max="15873" width="0" style="331" hidden="1"/>
    <col min="15874" max="15874" width="42.5703125" style="331" customWidth="1"/>
    <col min="15875" max="15884" width="0" style="331" hidden="1"/>
    <col min="15885" max="16126" width="9.140625" style="331" customWidth="1"/>
    <col min="16127" max="16129" width="0" style="331" hidden="1"/>
    <col min="16130" max="16130" width="42.5703125" style="331" customWidth="1"/>
    <col min="16131" max="16140" width="0" style="331" hidden="1"/>
    <col min="16141" max="16382" width="9.140625" style="331" customWidth="1"/>
    <col min="16383" max="16384" width="0" style="331" hidden="1"/>
  </cols>
  <sheetData>
    <row r="3" spans="2:23" x14ac:dyDescent="0.2">
      <c r="B3" s="340"/>
      <c r="J3" s="340"/>
      <c r="K3" s="340"/>
      <c r="L3" s="341"/>
      <c r="M3" s="340"/>
    </row>
    <row r="4" spans="2:23" ht="12.75" thickBot="1" x14ac:dyDescent="0.25">
      <c r="B4" s="340"/>
      <c r="J4" s="340"/>
      <c r="K4" s="340"/>
      <c r="L4" s="341"/>
      <c r="M4" s="340"/>
      <c r="W4" s="340" t="s">
        <v>32</v>
      </c>
    </row>
    <row r="5" spans="2:23" ht="24.75" thickBot="1" x14ac:dyDescent="0.25">
      <c r="B5" s="324" t="s">
        <v>281</v>
      </c>
      <c r="C5" s="325" t="s">
        <v>282</v>
      </c>
      <c r="D5" s="326">
        <v>2008</v>
      </c>
      <c r="E5" s="326">
        <v>2008</v>
      </c>
      <c r="F5" s="326">
        <v>2009</v>
      </c>
      <c r="G5" s="326">
        <v>2010</v>
      </c>
      <c r="H5" s="326">
        <v>2011</v>
      </c>
      <c r="I5" s="326">
        <v>2012</v>
      </c>
      <c r="J5" s="327">
        <v>2014</v>
      </c>
      <c r="K5" s="342">
        <v>2015</v>
      </c>
      <c r="L5" s="343">
        <v>2016</v>
      </c>
      <c r="M5" s="344">
        <v>2018</v>
      </c>
      <c r="N5" s="344">
        <v>2019</v>
      </c>
      <c r="O5" s="343">
        <v>2020</v>
      </c>
      <c r="P5" s="343">
        <v>2021</v>
      </c>
      <c r="Q5" s="344">
        <v>2022</v>
      </c>
      <c r="R5" s="345">
        <v>2023</v>
      </c>
      <c r="S5" s="346">
        <v>2024</v>
      </c>
      <c r="T5" s="343">
        <v>2025</v>
      </c>
      <c r="U5" s="343">
        <v>2026</v>
      </c>
      <c r="V5" s="343">
        <v>2027</v>
      </c>
      <c r="W5" s="344">
        <v>2028</v>
      </c>
    </row>
    <row r="6" spans="2:23" ht="15.75" customHeight="1" thickBot="1" x14ac:dyDescent="0.25">
      <c r="B6" s="246" t="s">
        <v>283</v>
      </c>
      <c r="C6" s="326" t="s">
        <v>32</v>
      </c>
      <c r="D6" s="328" t="e">
        <f>SUM(#REF!)</f>
        <v>#REF!</v>
      </c>
      <c r="E6" s="328" t="e">
        <f>SUM(#REF!)</f>
        <v>#REF!</v>
      </c>
      <c r="F6" s="328" t="e">
        <f>SUM(#REF!)</f>
        <v>#REF!</v>
      </c>
      <c r="G6" s="328" t="e">
        <f>SUM(#REF!)</f>
        <v>#REF!</v>
      </c>
      <c r="H6" s="328" t="e">
        <f>SUM(#REF!)</f>
        <v>#REF!</v>
      </c>
      <c r="I6" s="328" t="e">
        <f>SUM(#REF!)</f>
        <v>#REF!</v>
      </c>
      <c r="J6" s="328" t="e">
        <f>SUM(#REF!)</f>
        <v>#REF!</v>
      </c>
      <c r="K6" s="328" t="e">
        <f>SUM(#REF!)</f>
        <v>#REF!</v>
      </c>
      <c r="L6" s="329" t="e">
        <f>SUM(#REF!)</f>
        <v>#REF!</v>
      </c>
      <c r="M6" s="330">
        <f>SUM(M7:M15)</f>
        <v>32.880000000000003</v>
      </c>
      <c r="N6" s="330">
        <f>SUM(N7:N15)</f>
        <v>172.86</v>
      </c>
      <c r="O6" s="330">
        <f t="shared" ref="O6:W6" si="0">SUM(O7:O14)</f>
        <v>4.5</v>
      </c>
      <c r="P6" s="330">
        <f t="shared" si="0"/>
        <v>4.7859999999999996</v>
      </c>
      <c r="Q6" s="330">
        <f t="shared" si="0"/>
        <v>251.22800000000001</v>
      </c>
      <c r="R6" s="330">
        <f t="shared" si="0"/>
        <v>293.7</v>
      </c>
      <c r="S6" s="330">
        <f t="shared" si="0"/>
        <v>1.1850000000000001</v>
      </c>
      <c r="T6" s="247">
        <f t="shared" si="0"/>
        <v>1135.9499999999998</v>
      </c>
      <c r="U6" s="247">
        <f t="shared" si="0"/>
        <v>251.86</v>
      </c>
      <c r="V6" s="247">
        <f t="shared" si="0"/>
        <v>3.9</v>
      </c>
      <c r="W6" s="248">
        <f t="shared" si="0"/>
        <v>5.9</v>
      </c>
    </row>
    <row r="7" spans="2:23" ht="26.25" customHeight="1" x14ac:dyDescent="0.2">
      <c r="B7" s="371" t="s">
        <v>284</v>
      </c>
      <c r="C7" s="372"/>
      <c r="D7" s="372"/>
      <c r="E7" s="372"/>
      <c r="F7" s="373"/>
      <c r="G7" s="373"/>
      <c r="H7" s="374"/>
      <c r="I7" s="375"/>
      <c r="J7" s="375"/>
      <c r="K7" s="375"/>
      <c r="L7" s="375"/>
      <c r="M7" s="375"/>
      <c r="N7" s="375"/>
      <c r="O7" s="375"/>
      <c r="P7" s="375"/>
      <c r="Q7" s="376"/>
      <c r="R7" s="377"/>
      <c r="S7" s="377">
        <v>0.22</v>
      </c>
      <c r="T7" s="378"/>
      <c r="U7" s="379"/>
      <c r="V7" s="379"/>
      <c r="W7" s="376"/>
    </row>
    <row r="8" spans="2:23" ht="27" customHeight="1" x14ac:dyDescent="0.2">
      <c r="B8" s="371" t="s">
        <v>285</v>
      </c>
      <c r="C8" s="380"/>
      <c r="D8" s="381"/>
      <c r="E8" s="381"/>
      <c r="F8" s="382"/>
      <c r="G8" s="383"/>
      <c r="H8" s="383"/>
      <c r="I8" s="384"/>
      <c r="J8" s="383"/>
      <c r="K8" s="385"/>
      <c r="L8" s="372"/>
      <c r="M8" s="386"/>
      <c r="N8" s="387"/>
      <c r="O8" s="387"/>
      <c r="P8" s="348"/>
      <c r="Q8" s="377"/>
      <c r="R8" s="377"/>
      <c r="S8" s="377"/>
      <c r="T8" s="388">
        <v>0.4</v>
      </c>
      <c r="U8" s="379"/>
      <c r="V8" s="379"/>
      <c r="W8" s="376"/>
    </row>
    <row r="9" spans="2:23" ht="26.25" customHeight="1" x14ac:dyDescent="0.2">
      <c r="B9" s="371" t="s">
        <v>286</v>
      </c>
      <c r="C9" s="380"/>
      <c r="D9" s="381"/>
      <c r="E9" s="381"/>
      <c r="F9" s="382"/>
      <c r="G9" s="383"/>
      <c r="H9" s="383"/>
      <c r="I9" s="384"/>
      <c r="J9" s="383"/>
      <c r="K9" s="385"/>
      <c r="L9" s="372"/>
      <c r="M9" s="386"/>
      <c r="N9" s="386"/>
      <c r="O9" s="386">
        <v>4.5</v>
      </c>
      <c r="P9" s="386">
        <v>4.7859999999999996</v>
      </c>
      <c r="Q9" s="375">
        <v>146.6</v>
      </c>
      <c r="R9" s="375">
        <v>293.7</v>
      </c>
      <c r="S9" s="375">
        <v>0.96499999999999997</v>
      </c>
      <c r="T9" s="375"/>
      <c r="U9" s="389"/>
      <c r="V9" s="379"/>
      <c r="W9" s="376"/>
    </row>
    <row r="10" spans="2:23" ht="25.5" customHeight="1" x14ac:dyDescent="0.2">
      <c r="B10" s="390" t="s">
        <v>314</v>
      </c>
      <c r="C10" s="380"/>
      <c r="D10" s="381"/>
      <c r="E10" s="381"/>
      <c r="F10" s="382"/>
      <c r="G10" s="383"/>
      <c r="H10" s="383"/>
      <c r="I10" s="384"/>
      <c r="J10" s="383"/>
      <c r="K10" s="385"/>
      <c r="L10" s="372"/>
      <c r="M10" s="387"/>
      <c r="N10" s="391"/>
      <c r="O10" s="377"/>
      <c r="P10" s="388"/>
      <c r="Q10" s="333"/>
      <c r="R10" s="333"/>
      <c r="S10" s="333"/>
      <c r="T10" s="389">
        <v>66.5</v>
      </c>
      <c r="U10" s="389">
        <v>121.56</v>
      </c>
      <c r="V10" s="379"/>
      <c r="W10" s="376"/>
    </row>
    <row r="11" spans="2:23" ht="20.25" customHeight="1" x14ac:dyDescent="0.2">
      <c r="B11" s="371" t="s">
        <v>303</v>
      </c>
      <c r="C11" s="380"/>
      <c r="D11" s="381"/>
      <c r="E11" s="381"/>
      <c r="F11" s="382"/>
      <c r="G11" s="383"/>
      <c r="H11" s="383"/>
      <c r="I11" s="384"/>
      <c r="J11" s="383"/>
      <c r="K11" s="385"/>
      <c r="L11" s="372"/>
      <c r="M11" s="387"/>
      <c r="N11" s="391"/>
      <c r="O11" s="377"/>
      <c r="P11" s="388"/>
      <c r="Q11" s="388">
        <v>37.755000000000003</v>
      </c>
      <c r="R11" s="388"/>
      <c r="S11" s="388"/>
      <c r="T11" s="392">
        <v>722.5</v>
      </c>
      <c r="U11" s="379"/>
      <c r="V11" s="379"/>
      <c r="W11" s="376"/>
    </row>
    <row r="12" spans="2:23" ht="27" customHeight="1" x14ac:dyDescent="0.2">
      <c r="B12" s="371" t="s">
        <v>287</v>
      </c>
      <c r="C12" s="380"/>
      <c r="D12" s="381"/>
      <c r="E12" s="381"/>
      <c r="F12" s="382"/>
      <c r="G12" s="383"/>
      <c r="H12" s="383"/>
      <c r="I12" s="384"/>
      <c r="J12" s="383"/>
      <c r="K12" s="385"/>
      <c r="L12" s="372"/>
      <c r="M12" s="393">
        <v>32.880000000000003</v>
      </c>
      <c r="N12" s="394">
        <v>172.86</v>
      </c>
      <c r="O12" s="377"/>
      <c r="P12" s="388"/>
      <c r="Q12" s="388">
        <v>66.873000000000005</v>
      </c>
      <c r="R12" s="388"/>
      <c r="S12" s="349"/>
      <c r="T12" s="392">
        <v>314.95999999999998</v>
      </c>
      <c r="U12" s="379"/>
      <c r="V12" s="379"/>
      <c r="W12" s="376"/>
    </row>
    <row r="13" spans="2:23" ht="27" customHeight="1" x14ac:dyDescent="0.2">
      <c r="B13" s="371" t="s">
        <v>288</v>
      </c>
      <c r="C13" s="380"/>
      <c r="D13" s="381"/>
      <c r="E13" s="381"/>
      <c r="F13" s="382"/>
      <c r="G13" s="383"/>
      <c r="H13" s="383"/>
      <c r="I13" s="384"/>
      <c r="J13" s="383"/>
      <c r="K13" s="385"/>
      <c r="L13" s="372"/>
      <c r="M13" s="393"/>
      <c r="N13" s="394"/>
      <c r="O13" s="377"/>
      <c r="P13" s="388"/>
      <c r="Q13" s="388"/>
      <c r="R13" s="388"/>
      <c r="S13" s="349"/>
      <c r="T13" s="392">
        <v>22.5</v>
      </c>
      <c r="U13" s="379"/>
      <c r="V13" s="379"/>
      <c r="W13" s="376"/>
    </row>
    <row r="14" spans="2:23" ht="24.75" customHeight="1" thickBot="1" x14ac:dyDescent="0.25">
      <c r="B14" s="371" t="s">
        <v>280</v>
      </c>
      <c r="C14" s="380"/>
      <c r="D14" s="381"/>
      <c r="E14" s="381"/>
      <c r="F14" s="382"/>
      <c r="G14" s="383"/>
      <c r="H14" s="383"/>
      <c r="I14" s="384"/>
      <c r="J14" s="383"/>
      <c r="K14" s="385"/>
      <c r="L14" s="372"/>
      <c r="M14" s="393"/>
      <c r="N14" s="394"/>
      <c r="O14" s="377"/>
      <c r="P14" s="388"/>
      <c r="Q14" s="388"/>
      <c r="R14" s="388"/>
      <c r="S14" s="349"/>
      <c r="T14" s="392">
        <v>9.09</v>
      </c>
      <c r="U14" s="392">
        <v>130.30000000000001</v>
      </c>
      <c r="V14" s="392">
        <v>3.9</v>
      </c>
      <c r="W14" s="386">
        <v>5.9</v>
      </c>
    </row>
    <row r="15" spans="2:23" ht="12.75" hidden="1" thickBot="1" x14ac:dyDescent="0.25"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23"/>
      <c r="S15" s="333"/>
      <c r="T15" s="349"/>
      <c r="U15" s="349"/>
      <c r="V15" s="349"/>
      <c r="W15" s="249"/>
    </row>
    <row r="16" spans="2:23" ht="16.5" customHeight="1" thickBot="1" x14ac:dyDescent="0.25">
      <c r="B16" s="395" t="s">
        <v>279</v>
      </c>
      <c r="C16" s="396" t="s">
        <v>32</v>
      </c>
      <c r="D16" s="326">
        <f>SUM(D17:D26)</f>
        <v>0</v>
      </c>
      <c r="E16" s="326"/>
      <c r="F16" s="328">
        <f>SUM(F17:F26)</f>
        <v>0</v>
      </c>
      <c r="G16" s="328">
        <f>SUM(G17:G26)</f>
        <v>11.4</v>
      </c>
      <c r="H16" s="328">
        <f>SUM(H17:H26)</f>
        <v>0</v>
      </c>
      <c r="I16" s="328">
        <f>SUM(I17:I26)</f>
        <v>6</v>
      </c>
      <c r="J16" s="329">
        <f>SUM(J17:J26)</f>
        <v>0</v>
      </c>
      <c r="K16" s="330">
        <f>SUM(K18:K27)</f>
        <v>4</v>
      </c>
      <c r="L16" s="330" t="e">
        <f>L18+#REF!+#REF!+#REF!+#REF!+#REF!+#REF!+L26+#REF!+#REF!+#REF!+#REF!+#REF!</f>
        <v>#REF!</v>
      </c>
      <c r="M16" s="330">
        <f>SUM(M18:M36)</f>
        <v>2</v>
      </c>
      <c r="N16" s="330">
        <f>SUM(N18:N36)</f>
        <v>7</v>
      </c>
      <c r="O16" s="330">
        <f>SUM(O18:O36)</f>
        <v>14</v>
      </c>
      <c r="P16" s="330">
        <f>SUM(P18:P38)</f>
        <v>185</v>
      </c>
      <c r="Q16" s="330">
        <f t="shared" ref="Q16:W16" si="1">SUM(Q18:Q39)</f>
        <v>40</v>
      </c>
      <c r="R16" s="330">
        <f t="shared" si="1"/>
        <v>115</v>
      </c>
      <c r="S16" s="330">
        <f t="shared" si="1"/>
        <v>261</v>
      </c>
      <c r="T16" s="330">
        <f t="shared" si="1"/>
        <v>1360</v>
      </c>
      <c r="U16" s="330">
        <f>SUM(U18:U39)</f>
        <v>1742</v>
      </c>
      <c r="V16" s="247">
        <f t="shared" si="1"/>
        <v>185</v>
      </c>
      <c r="W16" s="248">
        <f t="shared" si="1"/>
        <v>170</v>
      </c>
    </row>
    <row r="17" spans="2:24" hidden="1" x14ac:dyDescent="0.2">
      <c r="B17" s="334"/>
      <c r="C17" s="335"/>
      <c r="D17" s="336"/>
      <c r="E17" s="336"/>
      <c r="F17" s="337"/>
      <c r="G17" s="338">
        <v>11.4</v>
      </c>
      <c r="H17" s="338"/>
      <c r="I17" s="338">
        <v>6</v>
      </c>
      <c r="J17" s="339"/>
      <c r="K17" s="350"/>
      <c r="L17" s="351"/>
      <c r="M17" s="352"/>
      <c r="N17" s="253"/>
      <c r="P17" s="347"/>
      <c r="Q17" s="347"/>
      <c r="R17" s="348"/>
      <c r="S17" s="347"/>
      <c r="T17" s="347"/>
      <c r="U17" s="347"/>
      <c r="V17" s="347"/>
      <c r="W17" s="253"/>
    </row>
    <row r="18" spans="2:24" ht="24" x14ac:dyDescent="0.2">
      <c r="B18" s="390" t="s">
        <v>289</v>
      </c>
      <c r="C18" s="397"/>
      <c r="D18" s="249"/>
      <c r="E18" s="249"/>
      <c r="F18" s="398"/>
      <c r="G18" s="399"/>
      <c r="H18" s="399"/>
      <c r="I18" s="399"/>
      <c r="J18" s="400"/>
      <c r="K18" s="385">
        <v>4</v>
      </c>
      <c r="L18" s="401">
        <v>2</v>
      </c>
      <c r="M18" s="402"/>
      <c r="N18" s="403"/>
      <c r="O18" s="404"/>
      <c r="P18" s="404"/>
      <c r="Q18" s="404"/>
      <c r="R18" s="403"/>
      <c r="T18" s="403">
        <v>1218</v>
      </c>
      <c r="U18" s="403">
        <f>591+791</f>
        <v>1382</v>
      </c>
      <c r="V18" s="386"/>
      <c r="W18" s="386"/>
      <c r="X18" s="441"/>
    </row>
    <row r="19" spans="2:24" ht="24" x14ac:dyDescent="0.2">
      <c r="B19" s="390" t="s">
        <v>290</v>
      </c>
      <c r="C19" s="397"/>
      <c r="D19" s="249"/>
      <c r="E19" s="249"/>
      <c r="F19" s="398"/>
      <c r="G19" s="399"/>
      <c r="H19" s="399"/>
      <c r="I19" s="399"/>
      <c r="J19" s="400"/>
      <c r="K19" s="385"/>
      <c r="L19" s="401"/>
      <c r="M19" s="402"/>
      <c r="N19" s="404"/>
      <c r="O19" s="404"/>
      <c r="P19" s="404"/>
      <c r="Q19" s="404">
        <v>20</v>
      </c>
      <c r="R19" s="403">
        <v>16</v>
      </c>
      <c r="S19" s="403">
        <v>14</v>
      </c>
      <c r="T19" s="386"/>
      <c r="U19" s="386"/>
      <c r="V19" s="386"/>
      <c r="W19" s="386"/>
    </row>
    <row r="20" spans="2:24" ht="16.5" customHeight="1" x14ac:dyDescent="0.2">
      <c r="B20" s="390" t="s">
        <v>312</v>
      </c>
      <c r="C20" s="397"/>
      <c r="D20" s="249"/>
      <c r="E20" s="249"/>
      <c r="F20" s="398"/>
      <c r="G20" s="399"/>
      <c r="H20" s="399"/>
      <c r="I20" s="399"/>
      <c r="J20" s="400"/>
      <c r="K20" s="385"/>
      <c r="L20" s="401"/>
      <c r="M20" s="402"/>
      <c r="N20" s="404"/>
      <c r="O20" s="404"/>
      <c r="P20" s="404"/>
      <c r="Q20" s="404">
        <v>20</v>
      </c>
      <c r="R20" s="404"/>
      <c r="S20" s="404"/>
      <c r="T20" s="392"/>
      <c r="U20" s="392"/>
      <c r="V20" s="404">
        <v>15</v>
      </c>
      <c r="W20" s="386"/>
    </row>
    <row r="21" spans="2:24" ht="24" x14ac:dyDescent="0.2">
      <c r="B21" s="390" t="s">
        <v>305</v>
      </c>
      <c r="C21" s="397"/>
      <c r="D21" s="249"/>
      <c r="E21" s="249"/>
      <c r="F21" s="398"/>
      <c r="G21" s="399"/>
      <c r="H21" s="399"/>
      <c r="I21" s="399"/>
      <c r="J21" s="400"/>
      <c r="K21" s="385"/>
      <c r="L21" s="401"/>
      <c r="M21" s="402"/>
      <c r="N21" s="404"/>
      <c r="O21" s="404"/>
      <c r="P21" s="404"/>
      <c r="Q21" s="404"/>
      <c r="R21" s="403"/>
      <c r="S21" s="403">
        <v>16</v>
      </c>
      <c r="T21" s="386"/>
      <c r="U21" s="386"/>
      <c r="V21" s="386"/>
      <c r="W21" s="386"/>
    </row>
    <row r="22" spans="2:24" ht="24" x14ac:dyDescent="0.2">
      <c r="B22" s="390" t="s">
        <v>306</v>
      </c>
      <c r="C22" s="397"/>
      <c r="D22" s="249"/>
      <c r="E22" s="249"/>
      <c r="F22" s="398"/>
      <c r="G22" s="399"/>
      <c r="H22" s="399"/>
      <c r="I22" s="399"/>
      <c r="J22" s="400"/>
      <c r="K22" s="385"/>
      <c r="L22" s="401"/>
      <c r="M22" s="402"/>
      <c r="N22" s="404"/>
      <c r="O22" s="404"/>
      <c r="P22" s="404"/>
      <c r="Q22" s="404"/>
      <c r="R22" s="403"/>
      <c r="S22" s="403"/>
      <c r="T22" s="403">
        <v>10</v>
      </c>
      <c r="U22" s="386"/>
      <c r="V22" s="386"/>
      <c r="W22" s="386"/>
    </row>
    <row r="23" spans="2:24" x14ac:dyDescent="0.2">
      <c r="B23" s="390" t="s">
        <v>291</v>
      </c>
      <c r="C23" s="397"/>
      <c r="D23" s="249"/>
      <c r="E23" s="249"/>
      <c r="F23" s="398"/>
      <c r="G23" s="399"/>
      <c r="H23" s="399"/>
      <c r="I23" s="399"/>
      <c r="J23" s="400"/>
      <c r="K23" s="385"/>
      <c r="L23" s="401"/>
      <c r="M23" s="402"/>
      <c r="N23" s="404"/>
      <c r="O23" s="404"/>
      <c r="P23" s="404"/>
      <c r="Q23" s="404"/>
      <c r="R23" s="403">
        <v>11</v>
      </c>
      <c r="S23" s="403"/>
      <c r="T23" s="403"/>
      <c r="U23" s="403"/>
      <c r="V23" s="386"/>
      <c r="W23" s="386"/>
    </row>
    <row r="24" spans="2:24" x14ac:dyDescent="0.2">
      <c r="B24" s="390" t="s">
        <v>292</v>
      </c>
      <c r="C24" s="249"/>
      <c r="D24" s="249"/>
      <c r="E24" s="249"/>
      <c r="F24" s="399"/>
      <c r="G24" s="399"/>
      <c r="H24" s="399"/>
      <c r="I24" s="399"/>
      <c r="J24" s="400"/>
      <c r="K24" s="384"/>
      <c r="L24" s="405"/>
      <c r="M24" s="404"/>
      <c r="N24" s="404"/>
      <c r="O24" s="404">
        <v>10</v>
      </c>
      <c r="P24" s="404">
        <v>10</v>
      </c>
      <c r="Q24" s="404"/>
      <c r="R24" s="403"/>
      <c r="S24" s="403">
        <v>15</v>
      </c>
      <c r="T24" s="386"/>
      <c r="U24" s="386"/>
      <c r="V24" s="386"/>
      <c r="W24" s="386"/>
    </row>
    <row r="25" spans="2:24" x14ac:dyDescent="0.2">
      <c r="B25" s="390" t="s">
        <v>293</v>
      </c>
      <c r="C25" s="249"/>
      <c r="D25" s="249"/>
      <c r="E25" s="249"/>
      <c r="F25" s="399"/>
      <c r="G25" s="399"/>
      <c r="H25" s="399"/>
      <c r="I25" s="399"/>
      <c r="J25" s="400"/>
      <c r="K25" s="384"/>
      <c r="L25" s="405"/>
      <c r="M25" s="404"/>
      <c r="N25" s="404"/>
      <c r="O25" s="404"/>
      <c r="P25" s="404"/>
      <c r="Q25" s="404"/>
      <c r="R25" s="403"/>
      <c r="S25" s="403"/>
      <c r="T25" s="403">
        <v>30</v>
      </c>
      <c r="U25" s="403">
        <v>60</v>
      </c>
      <c r="V25" s="386"/>
      <c r="W25" s="386"/>
    </row>
    <row r="26" spans="2:24" ht="14.25" customHeight="1" x14ac:dyDescent="0.2">
      <c r="B26" s="390" t="s">
        <v>294</v>
      </c>
      <c r="C26" s="249"/>
      <c r="D26" s="249"/>
      <c r="E26" s="249"/>
      <c r="F26" s="399"/>
      <c r="G26" s="399"/>
      <c r="H26" s="399"/>
      <c r="I26" s="399"/>
      <c r="J26" s="400"/>
      <c r="K26" s="384"/>
      <c r="L26" s="405"/>
      <c r="M26" s="404">
        <v>2</v>
      </c>
      <c r="N26" s="404">
        <v>7</v>
      </c>
      <c r="O26" s="404">
        <v>4</v>
      </c>
      <c r="P26" s="404">
        <v>4</v>
      </c>
      <c r="Q26" s="404"/>
      <c r="R26" s="403">
        <v>8</v>
      </c>
      <c r="S26" s="403">
        <v>7</v>
      </c>
      <c r="T26" s="386"/>
      <c r="U26" s="386"/>
      <c r="V26" s="386"/>
      <c r="W26" s="386"/>
    </row>
    <row r="27" spans="2:24" ht="14.25" customHeight="1" x14ac:dyDescent="0.2">
      <c r="B27" s="390" t="s">
        <v>295</v>
      </c>
      <c r="C27" s="249"/>
      <c r="D27" s="249"/>
      <c r="E27" s="249"/>
      <c r="F27" s="399"/>
      <c r="G27" s="399"/>
      <c r="H27" s="399"/>
      <c r="I27" s="399"/>
      <c r="J27" s="400"/>
      <c r="K27" s="399"/>
      <c r="L27" s="406"/>
      <c r="M27" s="378"/>
      <c r="N27" s="404"/>
      <c r="O27" s="404"/>
      <c r="P27" s="404">
        <v>81</v>
      </c>
      <c r="Q27" s="404"/>
      <c r="R27" s="403"/>
      <c r="S27" s="403"/>
      <c r="T27" s="386"/>
      <c r="U27" s="403"/>
      <c r="V27" s="403">
        <v>50</v>
      </c>
      <c r="W27" s="386"/>
    </row>
    <row r="28" spans="2:24" x14ac:dyDescent="0.2">
      <c r="B28" s="390" t="s">
        <v>307</v>
      </c>
      <c r="C28" s="249"/>
      <c r="D28" s="249"/>
      <c r="E28" s="249"/>
      <c r="F28" s="399"/>
      <c r="G28" s="399"/>
      <c r="H28" s="399"/>
      <c r="I28" s="399"/>
      <c r="J28" s="407"/>
      <c r="K28" s="399"/>
      <c r="L28" s="399"/>
      <c r="M28" s="399"/>
      <c r="N28" s="404"/>
      <c r="O28" s="404"/>
      <c r="P28" s="404"/>
      <c r="Q28" s="404"/>
      <c r="R28" s="403"/>
      <c r="S28" s="403"/>
      <c r="T28" s="386"/>
      <c r="U28" s="386"/>
      <c r="V28" s="403"/>
      <c r="W28" s="403">
        <v>20</v>
      </c>
    </row>
    <row r="29" spans="2:24" ht="24" x14ac:dyDescent="0.2">
      <c r="B29" s="390" t="s">
        <v>308</v>
      </c>
      <c r="C29" s="249"/>
      <c r="D29" s="249"/>
      <c r="E29" s="249"/>
      <c r="F29" s="399"/>
      <c r="G29" s="399"/>
      <c r="H29" s="399"/>
      <c r="I29" s="399"/>
      <c r="J29" s="407"/>
      <c r="K29" s="399"/>
      <c r="L29" s="399"/>
      <c r="M29" s="399"/>
      <c r="N29" s="404"/>
      <c r="O29" s="404"/>
      <c r="P29" s="404"/>
      <c r="Q29" s="404"/>
      <c r="R29" s="403"/>
      <c r="S29" s="403">
        <v>67</v>
      </c>
      <c r="T29" s="386"/>
      <c r="U29" s="386"/>
      <c r="V29" s="403"/>
      <c r="W29" s="403"/>
    </row>
    <row r="30" spans="2:24" x14ac:dyDescent="0.2">
      <c r="B30" s="390" t="s">
        <v>309</v>
      </c>
      <c r="C30" s="249"/>
      <c r="D30" s="249"/>
      <c r="E30" s="249"/>
      <c r="F30" s="399"/>
      <c r="G30" s="399"/>
      <c r="H30" s="399"/>
      <c r="I30" s="399"/>
      <c r="J30" s="407"/>
      <c r="K30" s="399"/>
      <c r="L30" s="399"/>
      <c r="M30" s="399"/>
      <c r="N30" s="404"/>
      <c r="O30" s="404"/>
      <c r="P30" s="404"/>
      <c r="Q30" s="404"/>
      <c r="R30" s="403"/>
      <c r="S30" s="403"/>
      <c r="T30" s="403">
        <v>30</v>
      </c>
      <c r="U30" s="386"/>
      <c r="V30" s="403"/>
      <c r="W30" s="403"/>
    </row>
    <row r="31" spans="2:24" x14ac:dyDescent="0.2">
      <c r="B31" s="390" t="s">
        <v>296</v>
      </c>
      <c r="C31" s="249"/>
      <c r="D31" s="249"/>
      <c r="E31" s="249"/>
      <c r="F31" s="399"/>
      <c r="G31" s="399"/>
      <c r="H31" s="399"/>
      <c r="I31" s="399"/>
      <c r="J31" s="407"/>
      <c r="K31" s="399"/>
      <c r="L31" s="399"/>
      <c r="M31" s="399"/>
      <c r="N31" s="404"/>
      <c r="O31" s="404"/>
      <c r="P31" s="404"/>
      <c r="Q31" s="404"/>
      <c r="R31" s="403"/>
      <c r="S31" s="403">
        <v>3</v>
      </c>
      <c r="T31" s="403"/>
      <c r="U31" s="386"/>
      <c r="V31" s="403"/>
      <c r="W31" s="386"/>
    </row>
    <row r="32" spans="2:24" ht="14.25" customHeight="1" x14ac:dyDescent="0.2">
      <c r="B32" s="390" t="s">
        <v>297</v>
      </c>
      <c r="C32" s="376"/>
      <c r="D32" s="376"/>
      <c r="E32" s="376"/>
      <c r="F32" s="384"/>
      <c r="G32" s="384"/>
      <c r="H32" s="384"/>
      <c r="I32" s="384"/>
      <c r="J32" s="385"/>
      <c r="K32" s="384"/>
      <c r="L32" s="384"/>
      <c r="M32" s="403"/>
      <c r="N32" s="404"/>
      <c r="O32" s="404"/>
      <c r="P32" s="404"/>
      <c r="Q32" s="404"/>
      <c r="R32" s="403">
        <v>56</v>
      </c>
      <c r="S32" s="403">
        <v>48</v>
      </c>
      <c r="T32" s="403">
        <v>50</v>
      </c>
      <c r="U32" s="386"/>
      <c r="V32" s="386"/>
      <c r="W32" s="386"/>
    </row>
    <row r="33" spans="2:23" ht="15.75" customHeight="1" x14ac:dyDescent="0.2">
      <c r="B33" s="390" t="s">
        <v>310</v>
      </c>
      <c r="C33" s="249"/>
      <c r="D33" s="249"/>
      <c r="E33" s="249"/>
      <c r="F33" s="399"/>
      <c r="G33" s="399"/>
      <c r="H33" s="399"/>
      <c r="I33" s="399"/>
      <c r="J33" s="407"/>
      <c r="K33" s="399"/>
      <c r="L33" s="399"/>
      <c r="M33" s="408"/>
      <c r="N33" s="404"/>
      <c r="O33" s="404"/>
      <c r="P33" s="404"/>
      <c r="Q33" s="404"/>
      <c r="R33" s="403"/>
      <c r="S33" s="403"/>
      <c r="T33" s="403"/>
      <c r="U33" s="403">
        <v>150</v>
      </c>
      <c r="V33" s="403"/>
      <c r="W33" s="403"/>
    </row>
    <row r="34" spans="2:23" ht="15.75" customHeight="1" x14ac:dyDescent="0.2">
      <c r="B34" s="390" t="s">
        <v>311</v>
      </c>
      <c r="C34" s="249"/>
      <c r="D34" s="249"/>
      <c r="E34" s="249"/>
      <c r="F34" s="399"/>
      <c r="G34" s="399"/>
      <c r="H34" s="399"/>
      <c r="I34" s="399"/>
      <c r="J34" s="407"/>
      <c r="K34" s="399"/>
      <c r="L34" s="399"/>
      <c r="M34" s="408"/>
      <c r="N34" s="404"/>
      <c r="O34" s="404"/>
      <c r="P34" s="404"/>
      <c r="Q34" s="404"/>
      <c r="R34" s="403"/>
      <c r="S34" s="403"/>
      <c r="T34" s="403"/>
      <c r="U34" s="403"/>
      <c r="V34" s="403">
        <v>50</v>
      </c>
      <c r="W34" s="403"/>
    </row>
    <row r="35" spans="2:23" ht="14.25" customHeight="1" x14ac:dyDescent="0.2">
      <c r="B35" s="390" t="s">
        <v>298</v>
      </c>
      <c r="C35" s="249"/>
      <c r="D35" s="249"/>
      <c r="E35" s="249"/>
      <c r="F35" s="399"/>
      <c r="G35" s="399"/>
      <c r="H35" s="399"/>
      <c r="I35" s="399"/>
      <c r="J35" s="407"/>
      <c r="K35" s="399"/>
      <c r="L35" s="399"/>
      <c r="M35" s="408"/>
      <c r="N35" s="404"/>
      <c r="O35" s="404"/>
      <c r="P35" s="404"/>
      <c r="Q35" s="404"/>
      <c r="R35" s="403">
        <v>20</v>
      </c>
      <c r="S35" s="403">
        <v>84</v>
      </c>
      <c r="T35" s="403">
        <v>22</v>
      </c>
      <c r="U35" s="403"/>
      <c r="V35" s="403"/>
      <c r="W35" s="403"/>
    </row>
    <row r="36" spans="2:23" ht="26.25" customHeight="1" x14ac:dyDescent="0.2">
      <c r="B36" s="390" t="s">
        <v>313</v>
      </c>
      <c r="C36" s="249"/>
      <c r="D36" s="249"/>
      <c r="E36" s="249"/>
      <c r="F36" s="399"/>
      <c r="G36" s="399"/>
      <c r="H36" s="399"/>
      <c r="I36" s="399"/>
      <c r="J36" s="407"/>
      <c r="K36" s="399"/>
      <c r="L36" s="399"/>
      <c r="M36" s="408"/>
      <c r="N36" s="404"/>
      <c r="O36" s="404"/>
      <c r="P36" s="404">
        <v>90</v>
      </c>
      <c r="Q36" s="404"/>
      <c r="R36" s="403"/>
      <c r="S36" s="403">
        <v>2</v>
      </c>
      <c r="T36" s="386"/>
      <c r="U36" s="403">
        <v>150</v>
      </c>
      <c r="V36" s="403"/>
      <c r="W36" s="403"/>
    </row>
    <row r="37" spans="2:23" ht="15" customHeight="1" x14ac:dyDescent="0.2">
      <c r="B37" s="390" t="s">
        <v>299</v>
      </c>
      <c r="C37" s="336"/>
      <c r="D37" s="336"/>
      <c r="E37" s="336"/>
      <c r="F37" s="338"/>
      <c r="G37" s="338"/>
      <c r="H37" s="338"/>
      <c r="I37" s="338"/>
      <c r="J37" s="409"/>
      <c r="K37" s="409"/>
      <c r="L37" s="338"/>
      <c r="M37" s="391"/>
      <c r="N37" s="336"/>
      <c r="O37" s="378"/>
      <c r="P37" s="378"/>
      <c r="Q37" s="378"/>
      <c r="R37" s="403">
        <v>4</v>
      </c>
      <c r="S37" s="403"/>
      <c r="T37" s="386"/>
      <c r="U37" s="403"/>
      <c r="V37" s="403"/>
      <c r="W37" s="403"/>
    </row>
    <row r="38" spans="2:23" ht="24.75" customHeight="1" x14ac:dyDescent="0.2">
      <c r="B38" s="390" t="s">
        <v>300</v>
      </c>
      <c r="C38" s="376"/>
      <c r="D38" s="376"/>
      <c r="E38" s="376"/>
      <c r="F38" s="384"/>
      <c r="G38" s="384"/>
      <c r="H38" s="384"/>
      <c r="I38" s="384"/>
      <c r="J38" s="385"/>
      <c r="K38" s="385"/>
      <c r="L38" s="384"/>
      <c r="M38" s="386"/>
      <c r="N38" s="376"/>
      <c r="O38" s="403"/>
      <c r="P38" s="403"/>
      <c r="Q38" s="404"/>
      <c r="R38" s="403"/>
      <c r="S38" s="403">
        <v>5</v>
      </c>
      <c r="T38" s="386"/>
      <c r="U38" s="403"/>
      <c r="V38" s="403"/>
      <c r="W38" s="403">
        <v>150</v>
      </c>
    </row>
    <row r="39" spans="2:23" ht="28.5" customHeight="1" thickBot="1" x14ac:dyDescent="0.25">
      <c r="B39" s="410" t="s">
        <v>301</v>
      </c>
      <c r="C39" s="249"/>
      <c r="D39" s="249"/>
      <c r="E39" s="249"/>
      <c r="F39" s="399"/>
      <c r="G39" s="399"/>
      <c r="H39" s="399"/>
      <c r="I39" s="399"/>
      <c r="J39" s="407"/>
      <c r="K39" s="407"/>
      <c r="L39" s="399"/>
      <c r="M39" s="377"/>
      <c r="N39" s="249"/>
      <c r="O39" s="408"/>
      <c r="P39" s="408"/>
      <c r="Q39" s="378"/>
      <c r="R39" s="408"/>
      <c r="S39" s="408"/>
      <c r="T39" s="408"/>
      <c r="U39" s="408"/>
      <c r="V39" s="408">
        <v>70</v>
      </c>
      <c r="W39" s="408"/>
    </row>
    <row r="40" spans="2:23" ht="18" customHeight="1" thickBot="1" x14ac:dyDescent="0.25">
      <c r="B40" s="353" t="s">
        <v>302</v>
      </c>
      <c r="C40" s="246"/>
      <c r="D40" s="328" t="e">
        <f>D6+D16+#REF!</f>
        <v>#REF!</v>
      </c>
      <c r="E40" s="328" t="e">
        <f>E6+E16+#REF!</f>
        <v>#REF!</v>
      </c>
      <c r="F40" s="328" t="e">
        <f>F6+F16+#REF!</f>
        <v>#REF!</v>
      </c>
      <c r="G40" s="328" t="e">
        <f>G6+G16+#REF!</f>
        <v>#REF!</v>
      </c>
      <c r="H40" s="328" t="e">
        <f>H6+H16+#REF!</f>
        <v>#REF!</v>
      </c>
      <c r="I40" s="328" t="e">
        <f>I6+I16+#REF!</f>
        <v>#REF!</v>
      </c>
      <c r="J40" s="354" t="e">
        <f>J6+J16+#REF!</f>
        <v>#REF!</v>
      </c>
      <c r="K40" s="330" t="e">
        <f>K6+K16+#REF!+#REF!</f>
        <v>#REF!</v>
      </c>
      <c r="L40" s="330" t="e">
        <f>L6+L16+#REF!+#REF!</f>
        <v>#REF!</v>
      </c>
      <c r="M40" s="330" t="e">
        <f>M6+M16+#REF!</f>
        <v>#REF!</v>
      </c>
      <c r="N40" s="330">
        <f t="shared" ref="N40:W40" si="2">N6+N16</f>
        <v>179.86</v>
      </c>
      <c r="O40" s="330">
        <f t="shared" si="2"/>
        <v>18.5</v>
      </c>
      <c r="P40" s="330">
        <f t="shared" si="2"/>
        <v>189.786</v>
      </c>
      <c r="Q40" s="330">
        <f t="shared" si="2"/>
        <v>291.22800000000001</v>
      </c>
      <c r="R40" s="330">
        <f t="shared" si="2"/>
        <v>408.7</v>
      </c>
      <c r="S40" s="330">
        <f t="shared" si="2"/>
        <v>262.185</v>
      </c>
      <c r="T40" s="247">
        <f t="shared" si="2"/>
        <v>2495.9499999999998</v>
      </c>
      <c r="U40" s="247">
        <f t="shared" si="2"/>
        <v>1993.8600000000001</v>
      </c>
      <c r="V40" s="247">
        <f t="shared" si="2"/>
        <v>188.9</v>
      </c>
      <c r="W40" s="248">
        <f t="shared" si="2"/>
        <v>175.9</v>
      </c>
    </row>
    <row r="42" spans="2:23" x14ac:dyDescent="0.2">
      <c r="B42" s="35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1E55-803A-4197-851F-9BEE3FA31F62}">
  <dimension ref="A3:W43"/>
  <sheetViews>
    <sheetView topLeftCell="B1" zoomScale="120" zoomScaleNormal="120" workbookViewId="0">
      <selection activeCell="B1" sqref="A1:XFD1048576"/>
    </sheetView>
  </sheetViews>
  <sheetFormatPr defaultColWidth="0" defaultRowHeight="12" x14ac:dyDescent="0.2"/>
  <cols>
    <col min="1" max="1" width="0.5703125" style="303" hidden="1"/>
    <col min="2" max="2" width="57.140625" style="303" customWidth="1"/>
    <col min="3" max="3" width="5.7109375" style="303" hidden="1"/>
    <col min="4" max="4" width="9.140625" style="303" hidden="1"/>
    <col min="5" max="5" width="8.140625" style="303" hidden="1"/>
    <col min="6" max="7" width="7.85546875" style="303" hidden="1"/>
    <col min="8" max="8" width="10.7109375" style="303" hidden="1"/>
    <col min="9" max="10" width="9.140625" style="303" hidden="1"/>
    <col min="11" max="11" width="9" style="303" hidden="1"/>
    <col min="12" max="12" width="8.85546875" style="311" hidden="1"/>
    <col min="13" max="16" width="9.140625" style="303" hidden="1"/>
    <col min="17" max="17" width="9.140625" style="303" hidden="1" customWidth="1"/>
    <col min="18" max="254" width="9.140625" style="303" customWidth="1"/>
    <col min="255" max="257" width="0" style="303" hidden="1"/>
    <col min="258" max="258" width="42.5703125" style="303" customWidth="1"/>
    <col min="259" max="268" width="0" style="303" hidden="1"/>
    <col min="269" max="510" width="9.140625" style="303" customWidth="1"/>
    <col min="511" max="513" width="0" style="303" hidden="1"/>
    <col min="514" max="514" width="42.5703125" style="303" customWidth="1"/>
    <col min="515" max="524" width="0" style="303" hidden="1"/>
    <col min="525" max="766" width="9.140625" style="303" customWidth="1"/>
    <col min="767" max="769" width="0" style="303" hidden="1"/>
    <col min="770" max="770" width="42.5703125" style="303" customWidth="1"/>
    <col min="771" max="780" width="0" style="303" hidden="1"/>
    <col min="781" max="1022" width="9.140625" style="303" customWidth="1"/>
    <col min="1023" max="1025" width="0" style="303" hidden="1"/>
    <col min="1026" max="1026" width="42.5703125" style="303" customWidth="1"/>
    <col min="1027" max="1036" width="0" style="303" hidden="1"/>
    <col min="1037" max="1278" width="9.140625" style="303" customWidth="1"/>
    <col min="1279" max="1281" width="0" style="303" hidden="1"/>
    <col min="1282" max="1282" width="42.5703125" style="303" customWidth="1"/>
    <col min="1283" max="1292" width="0" style="303" hidden="1"/>
    <col min="1293" max="1534" width="9.140625" style="303" customWidth="1"/>
    <col min="1535" max="1537" width="0" style="303" hidden="1"/>
    <col min="1538" max="1538" width="42.5703125" style="303" customWidth="1"/>
    <col min="1539" max="1548" width="0" style="303" hidden="1"/>
    <col min="1549" max="1790" width="9.140625" style="303" customWidth="1"/>
    <col min="1791" max="1793" width="0" style="303" hidden="1"/>
    <col min="1794" max="1794" width="42.5703125" style="303" customWidth="1"/>
    <col min="1795" max="1804" width="0" style="303" hidden="1"/>
    <col min="1805" max="2046" width="9.140625" style="303" customWidth="1"/>
    <col min="2047" max="2049" width="0" style="303" hidden="1"/>
    <col min="2050" max="2050" width="42.5703125" style="303" customWidth="1"/>
    <col min="2051" max="2060" width="0" style="303" hidden="1"/>
    <col min="2061" max="2302" width="9.140625" style="303" customWidth="1"/>
    <col min="2303" max="2305" width="0" style="303" hidden="1"/>
    <col min="2306" max="2306" width="42.5703125" style="303" customWidth="1"/>
    <col min="2307" max="2316" width="0" style="303" hidden="1"/>
    <col min="2317" max="2558" width="9.140625" style="303" customWidth="1"/>
    <col min="2559" max="2561" width="0" style="303" hidden="1"/>
    <col min="2562" max="2562" width="42.5703125" style="303" customWidth="1"/>
    <col min="2563" max="2572" width="0" style="303" hidden="1"/>
    <col min="2573" max="2814" width="9.140625" style="303" customWidth="1"/>
    <col min="2815" max="2817" width="0" style="303" hidden="1"/>
    <col min="2818" max="2818" width="42.5703125" style="303" customWidth="1"/>
    <col min="2819" max="2828" width="0" style="303" hidden="1"/>
    <col min="2829" max="3070" width="9.140625" style="303" customWidth="1"/>
    <col min="3071" max="3073" width="0" style="303" hidden="1"/>
    <col min="3074" max="3074" width="42.5703125" style="303" customWidth="1"/>
    <col min="3075" max="3084" width="0" style="303" hidden="1"/>
    <col min="3085" max="3326" width="9.140625" style="303" customWidth="1"/>
    <col min="3327" max="3329" width="0" style="303" hidden="1"/>
    <col min="3330" max="3330" width="42.5703125" style="303" customWidth="1"/>
    <col min="3331" max="3340" width="0" style="303" hidden="1"/>
    <col min="3341" max="3582" width="9.140625" style="303" customWidth="1"/>
    <col min="3583" max="3585" width="0" style="303" hidden="1"/>
    <col min="3586" max="3586" width="42.5703125" style="303" customWidth="1"/>
    <col min="3587" max="3596" width="0" style="303" hidden="1"/>
    <col min="3597" max="3838" width="9.140625" style="303" customWidth="1"/>
    <col min="3839" max="3841" width="0" style="303" hidden="1"/>
    <col min="3842" max="3842" width="42.5703125" style="303" customWidth="1"/>
    <col min="3843" max="3852" width="0" style="303" hidden="1"/>
    <col min="3853" max="4094" width="9.140625" style="303" customWidth="1"/>
    <col min="4095" max="4097" width="0" style="303" hidden="1"/>
    <col min="4098" max="4098" width="42.5703125" style="303" customWidth="1"/>
    <col min="4099" max="4108" width="0" style="303" hidden="1"/>
    <col min="4109" max="4350" width="9.140625" style="303" customWidth="1"/>
    <col min="4351" max="4353" width="0" style="303" hidden="1"/>
    <col min="4354" max="4354" width="42.5703125" style="303" customWidth="1"/>
    <col min="4355" max="4364" width="0" style="303" hidden="1"/>
    <col min="4365" max="4606" width="9.140625" style="303" customWidth="1"/>
    <col min="4607" max="4609" width="0" style="303" hidden="1"/>
    <col min="4610" max="4610" width="42.5703125" style="303" customWidth="1"/>
    <col min="4611" max="4620" width="0" style="303" hidden="1"/>
    <col min="4621" max="4862" width="9.140625" style="303" customWidth="1"/>
    <col min="4863" max="4865" width="0" style="303" hidden="1"/>
    <col min="4866" max="4866" width="42.5703125" style="303" customWidth="1"/>
    <col min="4867" max="4876" width="0" style="303" hidden="1"/>
    <col min="4877" max="5118" width="9.140625" style="303" customWidth="1"/>
    <col min="5119" max="5121" width="0" style="303" hidden="1"/>
    <col min="5122" max="5122" width="42.5703125" style="303" customWidth="1"/>
    <col min="5123" max="5132" width="0" style="303" hidden="1"/>
    <col min="5133" max="5374" width="9.140625" style="303" customWidth="1"/>
    <col min="5375" max="5377" width="0" style="303" hidden="1"/>
    <col min="5378" max="5378" width="42.5703125" style="303" customWidth="1"/>
    <col min="5379" max="5388" width="0" style="303" hidden="1"/>
    <col min="5389" max="5630" width="9.140625" style="303" customWidth="1"/>
    <col min="5631" max="5633" width="0" style="303" hidden="1"/>
    <col min="5634" max="5634" width="42.5703125" style="303" customWidth="1"/>
    <col min="5635" max="5644" width="0" style="303" hidden="1"/>
    <col min="5645" max="5886" width="9.140625" style="303" customWidth="1"/>
    <col min="5887" max="5889" width="0" style="303" hidden="1"/>
    <col min="5890" max="5890" width="42.5703125" style="303" customWidth="1"/>
    <col min="5891" max="5900" width="0" style="303" hidden="1"/>
    <col min="5901" max="6142" width="9.140625" style="303" customWidth="1"/>
    <col min="6143" max="6145" width="0" style="303" hidden="1"/>
    <col min="6146" max="6146" width="42.5703125" style="303" customWidth="1"/>
    <col min="6147" max="6156" width="0" style="303" hidden="1"/>
    <col min="6157" max="6398" width="9.140625" style="303" customWidth="1"/>
    <col min="6399" max="6401" width="0" style="303" hidden="1"/>
    <col min="6402" max="6402" width="42.5703125" style="303" customWidth="1"/>
    <col min="6403" max="6412" width="0" style="303" hidden="1"/>
    <col min="6413" max="6654" width="9.140625" style="303" customWidth="1"/>
    <col min="6655" max="6657" width="0" style="303" hidden="1"/>
    <col min="6658" max="6658" width="42.5703125" style="303" customWidth="1"/>
    <col min="6659" max="6668" width="0" style="303" hidden="1"/>
    <col min="6669" max="6910" width="9.140625" style="303" customWidth="1"/>
    <col min="6911" max="6913" width="0" style="303" hidden="1"/>
    <col min="6914" max="6914" width="42.5703125" style="303" customWidth="1"/>
    <col min="6915" max="6924" width="0" style="303" hidden="1"/>
    <col min="6925" max="7166" width="9.140625" style="303" customWidth="1"/>
    <col min="7167" max="7169" width="0" style="303" hidden="1"/>
    <col min="7170" max="7170" width="42.5703125" style="303" customWidth="1"/>
    <col min="7171" max="7180" width="0" style="303" hidden="1"/>
    <col min="7181" max="7422" width="9.140625" style="303" customWidth="1"/>
    <col min="7423" max="7425" width="0" style="303" hidden="1"/>
    <col min="7426" max="7426" width="42.5703125" style="303" customWidth="1"/>
    <col min="7427" max="7436" width="0" style="303" hidden="1"/>
    <col min="7437" max="7678" width="9.140625" style="303" customWidth="1"/>
    <col min="7679" max="7681" width="0" style="303" hidden="1"/>
    <col min="7682" max="7682" width="42.5703125" style="303" customWidth="1"/>
    <col min="7683" max="7692" width="0" style="303" hidden="1"/>
    <col min="7693" max="7934" width="9.140625" style="303" customWidth="1"/>
    <col min="7935" max="7937" width="0" style="303" hidden="1"/>
    <col min="7938" max="7938" width="42.5703125" style="303" customWidth="1"/>
    <col min="7939" max="7948" width="0" style="303" hidden="1"/>
    <col min="7949" max="8190" width="9.140625" style="303" customWidth="1"/>
    <col min="8191" max="8193" width="0" style="303" hidden="1"/>
    <col min="8194" max="8194" width="42.5703125" style="303" customWidth="1"/>
    <col min="8195" max="8204" width="0" style="303" hidden="1"/>
    <col min="8205" max="8446" width="9.140625" style="303" customWidth="1"/>
    <col min="8447" max="8449" width="0" style="303" hidden="1"/>
    <col min="8450" max="8450" width="42.5703125" style="303" customWidth="1"/>
    <col min="8451" max="8460" width="0" style="303" hidden="1"/>
    <col min="8461" max="8702" width="9.140625" style="303" customWidth="1"/>
    <col min="8703" max="8705" width="0" style="303" hidden="1"/>
    <col min="8706" max="8706" width="42.5703125" style="303" customWidth="1"/>
    <col min="8707" max="8716" width="0" style="303" hidden="1"/>
    <col min="8717" max="8958" width="9.140625" style="303" customWidth="1"/>
    <col min="8959" max="8961" width="0" style="303" hidden="1"/>
    <col min="8962" max="8962" width="42.5703125" style="303" customWidth="1"/>
    <col min="8963" max="8972" width="0" style="303" hidden="1"/>
    <col min="8973" max="9214" width="9.140625" style="303" customWidth="1"/>
    <col min="9215" max="9217" width="0" style="303" hidden="1"/>
    <col min="9218" max="9218" width="42.5703125" style="303" customWidth="1"/>
    <col min="9219" max="9228" width="0" style="303" hidden="1"/>
    <col min="9229" max="9470" width="9.140625" style="303" customWidth="1"/>
    <col min="9471" max="9473" width="0" style="303" hidden="1"/>
    <col min="9474" max="9474" width="42.5703125" style="303" customWidth="1"/>
    <col min="9475" max="9484" width="0" style="303" hidden="1"/>
    <col min="9485" max="9726" width="9.140625" style="303" customWidth="1"/>
    <col min="9727" max="9729" width="0" style="303" hidden="1"/>
    <col min="9730" max="9730" width="42.5703125" style="303" customWidth="1"/>
    <col min="9731" max="9740" width="0" style="303" hidden="1"/>
    <col min="9741" max="9982" width="9.140625" style="303" customWidth="1"/>
    <col min="9983" max="9985" width="0" style="303" hidden="1"/>
    <col min="9986" max="9986" width="42.5703125" style="303" customWidth="1"/>
    <col min="9987" max="9996" width="0" style="303" hidden="1"/>
    <col min="9997" max="10238" width="9.140625" style="303" customWidth="1"/>
    <col min="10239" max="10241" width="0" style="303" hidden="1"/>
    <col min="10242" max="10242" width="42.5703125" style="303" customWidth="1"/>
    <col min="10243" max="10252" width="0" style="303" hidden="1"/>
    <col min="10253" max="10494" width="9.140625" style="303" customWidth="1"/>
    <col min="10495" max="10497" width="0" style="303" hidden="1"/>
    <col min="10498" max="10498" width="42.5703125" style="303" customWidth="1"/>
    <col min="10499" max="10508" width="0" style="303" hidden="1"/>
    <col min="10509" max="10750" width="9.140625" style="303" customWidth="1"/>
    <col min="10751" max="10753" width="0" style="303" hidden="1"/>
    <col min="10754" max="10754" width="42.5703125" style="303" customWidth="1"/>
    <col min="10755" max="10764" width="0" style="303" hidden="1"/>
    <col min="10765" max="11006" width="9.140625" style="303" customWidth="1"/>
    <col min="11007" max="11009" width="0" style="303" hidden="1"/>
    <col min="11010" max="11010" width="42.5703125" style="303" customWidth="1"/>
    <col min="11011" max="11020" width="0" style="303" hidden="1"/>
    <col min="11021" max="11262" width="9.140625" style="303" customWidth="1"/>
    <col min="11263" max="11265" width="0" style="303" hidden="1"/>
    <col min="11266" max="11266" width="42.5703125" style="303" customWidth="1"/>
    <col min="11267" max="11276" width="0" style="303" hidden="1"/>
    <col min="11277" max="11518" width="9.140625" style="303" customWidth="1"/>
    <col min="11519" max="11521" width="0" style="303" hidden="1"/>
    <col min="11522" max="11522" width="42.5703125" style="303" customWidth="1"/>
    <col min="11523" max="11532" width="0" style="303" hidden="1"/>
    <col min="11533" max="11774" width="9.140625" style="303" customWidth="1"/>
    <col min="11775" max="11777" width="0" style="303" hidden="1"/>
    <col min="11778" max="11778" width="42.5703125" style="303" customWidth="1"/>
    <col min="11779" max="11788" width="0" style="303" hidden="1"/>
    <col min="11789" max="12030" width="9.140625" style="303" customWidth="1"/>
    <col min="12031" max="12033" width="0" style="303" hidden="1"/>
    <col min="12034" max="12034" width="42.5703125" style="303" customWidth="1"/>
    <col min="12035" max="12044" width="0" style="303" hidden="1"/>
    <col min="12045" max="12286" width="9.140625" style="303" customWidth="1"/>
    <col min="12287" max="12289" width="0" style="303" hidden="1"/>
    <col min="12290" max="12290" width="42.5703125" style="303" customWidth="1"/>
    <col min="12291" max="12300" width="0" style="303" hidden="1"/>
    <col min="12301" max="12542" width="9.140625" style="303" customWidth="1"/>
    <col min="12543" max="12545" width="0" style="303" hidden="1"/>
    <col min="12546" max="12546" width="42.5703125" style="303" customWidth="1"/>
    <col min="12547" max="12556" width="0" style="303" hidden="1"/>
    <col min="12557" max="12798" width="9.140625" style="303" customWidth="1"/>
    <col min="12799" max="12801" width="0" style="303" hidden="1"/>
    <col min="12802" max="12802" width="42.5703125" style="303" customWidth="1"/>
    <col min="12803" max="12812" width="0" style="303" hidden="1"/>
    <col min="12813" max="13054" width="9.140625" style="303" customWidth="1"/>
    <col min="13055" max="13057" width="0" style="303" hidden="1"/>
    <col min="13058" max="13058" width="42.5703125" style="303" customWidth="1"/>
    <col min="13059" max="13068" width="0" style="303" hidden="1"/>
    <col min="13069" max="13310" width="9.140625" style="303" customWidth="1"/>
    <col min="13311" max="13313" width="0" style="303" hidden="1"/>
    <col min="13314" max="13314" width="42.5703125" style="303" customWidth="1"/>
    <col min="13315" max="13324" width="0" style="303" hidden="1"/>
    <col min="13325" max="13566" width="9.140625" style="303" customWidth="1"/>
    <col min="13567" max="13569" width="0" style="303" hidden="1"/>
    <col min="13570" max="13570" width="42.5703125" style="303" customWidth="1"/>
    <col min="13571" max="13580" width="0" style="303" hidden="1"/>
    <col min="13581" max="13822" width="9.140625" style="303" customWidth="1"/>
    <col min="13823" max="13825" width="0" style="303" hidden="1"/>
    <col min="13826" max="13826" width="42.5703125" style="303" customWidth="1"/>
    <col min="13827" max="13836" width="0" style="303" hidden="1"/>
    <col min="13837" max="14078" width="9.140625" style="303" customWidth="1"/>
    <col min="14079" max="14081" width="0" style="303" hidden="1"/>
    <col min="14082" max="14082" width="42.5703125" style="303" customWidth="1"/>
    <col min="14083" max="14092" width="0" style="303" hidden="1"/>
    <col min="14093" max="14334" width="9.140625" style="303" customWidth="1"/>
    <col min="14335" max="14337" width="0" style="303" hidden="1"/>
    <col min="14338" max="14338" width="42.5703125" style="303" customWidth="1"/>
    <col min="14339" max="14348" width="0" style="303" hidden="1"/>
    <col min="14349" max="14590" width="9.140625" style="303" customWidth="1"/>
    <col min="14591" max="14593" width="0" style="303" hidden="1"/>
    <col min="14594" max="14594" width="42.5703125" style="303" customWidth="1"/>
    <col min="14595" max="14604" width="0" style="303" hidden="1"/>
    <col min="14605" max="14846" width="9.140625" style="303" customWidth="1"/>
    <col min="14847" max="14849" width="0" style="303" hidden="1"/>
    <col min="14850" max="14850" width="42.5703125" style="303" customWidth="1"/>
    <col min="14851" max="14860" width="0" style="303" hidden="1"/>
    <col min="14861" max="15102" width="9.140625" style="303" customWidth="1"/>
    <col min="15103" max="15105" width="0" style="303" hidden="1"/>
    <col min="15106" max="15106" width="42.5703125" style="303" customWidth="1"/>
    <col min="15107" max="15116" width="0" style="303" hidden="1"/>
    <col min="15117" max="15358" width="9.140625" style="303" customWidth="1"/>
    <col min="15359" max="15361" width="0" style="303" hidden="1"/>
    <col min="15362" max="15362" width="42.5703125" style="303" customWidth="1"/>
    <col min="15363" max="15372" width="0" style="303" hidden="1"/>
    <col min="15373" max="15614" width="9.140625" style="303" customWidth="1"/>
    <col min="15615" max="15617" width="0" style="303" hidden="1"/>
    <col min="15618" max="15618" width="42.5703125" style="303" customWidth="1"/>
    <col min="15619" max="15628" width="0" style="303" hidden="1"/>
    <col min="15629" max="15870" width="9.140625" style="303" customWidth="1"/>
    <col min="15871" max="15873" width="0" style="303" hidden="1"/>
    <col min="15874" max="15874" width="42.5703125" style="303" customWidth="1"/>
    <col min="15875" max="15884" width="0" style="303" hidden="1"/>
    <col min="15885" max="16126" width="9.140625" style="303" customWidth="1"/>
    <col min="16127" max="16129" width="0" style="303" hidden="1"/>
    <col min="16130" max="16130" width="42.5703125" style="303" customWidth="1"/>
    <col min="16131" max="16140" width="0" style="303" hidden="1"/>
    <col min="16141" max="16382" width="9.140625" style="303" customWidth="1"/>
    <col min="16383" max="16384" width="0" style="303" hidden="1"/>
  </cols>
  <sheetData>
    <row r="3" spans="2:23" x14ac:dyDescent="0.2">
      <c r="B3" s="302"/>
      <c r="J3" s="302"/>
      <c r="K3" s="302"/>
      <c r="L3" s="312"/>
      <c r="M3" s="302"/>
    </row>
    <row r="4" spans="2:23" ht="12.75" thickBot="1" x14ac:dyDescent="0.25">
      <c r="B4" s="302"/>
      <c r="J4" s="302"/>
      <c r="K4" s="302"/>
      <c r="L4" s="312"/>
      <c r="M4" s="302"/>
      <c r="T4" s="302"/>
      <c r="W4" s="357" t="s">
        <v>31</v>
      </c>
    </row>
    <row r="5" spans="2:23" ht="24.75" thickBot="1" x14ac:dyDescent="0.25">
      <c r="B5" s="324" t="s">
        <v>281</v>
      </c>
      <c r="C5" s="325" t="s">
        <v>282</v>
      </c>
      <c r="D5" s="326">
        <v>2008</v>
      </c>
      <c r="E5" s="326">
        <v>2008</v>
      </c>
      <c r="F5" s="326">
        <v>2009</v>
      </c>
      <c r="G5" s="326">
        <v>2010</v>
      </c>
      <c r="H5" s="326">
        <v>2011</v>
      </c>
      <c r="I5" s="326">
        <v>2012</v>
      </c>
      <c r="J5" s="327">
        <v>2014</v>
      </c>
      <c r="K5" s="304">
        <v>2015</v>
      </c>
      <c r="L5" s="305">
        <v>2016</v>
      </c>
      <c r="M5" s="306">
        <v>2018</v>
      </c>
      <c r="N5" s="306">
        <v>2019</v>
      </c>
      <c r="O5" s="305">
        <v>2020</v>
      </c>
      <c r="P5" s="305">
        <v>2021</v>
      </c>
      <c r="Q5" s="306">
        <v>2022</v>
      </c>
      <c r="R5" s="307">
        <v>2023</v>
      </c>
      <c r="S5" s="308">
        <v>2024</v>
      </c>
      <c r="T5" s="305">
        <v>2025</v>
      </c>
      <c r="U5" s="305">
        <v>2026</v>
      </c>
      <c r="V5" s="252">
        <v>2027</v>
      </c>
      <c r="W5" s="254">
        <v>2028</v>
      </c>
    </row>
    <row r="6" spans="2:23" ht="15.75" customHeight="1" thickBot="1" x14ac:dyDescent="0.25">
      <c r="B6" s="246" t="s">
        <v>283</v>
      </c>
      <c r="C6" s="326" t="s">
        <v>32</v>
      </c>
      <c r="D6" s="328" t="e">
        <f>SUM(#REF!)</f>
        <v>#REF!</v>
      </c>
      <c r="E6" s="328" t="e">
        <f>SUM(#REF!)</f>
        <v>#REF!</v>
      </c>
      <c r="F6" s="328" t="e">
        <f>SUM(#REF!)</f>
        <v>#REF!</v>
      </c>
      <c r="G6" s="328" t="e">
        <f>SUM(#REF!)</f>
        <v>#REF!</v>
      </c>
      <c r="H6" s="328" t="e">
        <f>SUM(#REF!)</f>
        <v>#REF!</v>
      </c>
      <c r="I6" s="328" t="e">
        <f>SUM(#REF!)</f>
        <v>#REF!</v>
      </c>
      <c r="J6" s="328" t="e">
        <f>SUM(#REF!)</f>
        <v>#REF!</v>
      </c>
      <c r="K6" s="328" t="e">
        <f>SUM(#REF!)</f>
        <v>#REF!</v>
      </c>
      <c r="L6" s="329" t="e">
        <f>SUM(#REF!)</f>
        <v>#REF!</v>
      </c>
      <c r="M6" s="330">
        <f>SUM(M7:M15)</f>
        <v>0</v>
      </c>
      <c r="N6" s="330">
        <f>SUM(N7:N15)</f>
        <v>0</v>
      </c>
      <c r="O6" s="330">
        <f t="shared" ref="O6:W6" si="0">SUM(O7:O14)</f>
        <v>0</v>
      </c>
      <c r="P6" s="330">
        <f t="shared" si="0"/>
        <v>0</v>
      </c>
      <c r="Q6" s="250">
        <f t="shared" si="0"/>
        <v>0</v>
      </c>
      <c r="R6" s="250">
        <f t="shared" si="0"/>
        <v>0</v>
      </c>
      <c r="S6" s="250">
        <f t="shared" si="0"/>
        <v>2</v>
      </c>
      <c r="T6" s="250">
        <f t="shared" si="0"/>
        <v>2</v>
      </c>
      <c r="U6" s="250">
        <f t="shared" si="0"/>
        <v>5</v>
      </c>
      <c r="V6" s="251">
        <f t="shared" si="0"/>
        <v>0</v>
      </c>
      <c r="W6" s="255">
        <f t="shared" si="0"/>
        <v>0</v>
      </c>
    </row>
    <row r="7" spans="2:23" s="331" customFormat="1" ht="27" customHeight="1" x14ac:dyDescent="0.2">
      <c r="B7" s="371" t="s">
        <v>284</v>
      </c>
      <c r="C7" s="380"/>
      <c r="D7" s="381"/>
      <c r="E7" s="381"/>
      <c r="F7" s="382"/>
      <c r="G7" s="383"/>
      <c r="H7" s="383"/>
      <c r="I7" s="384"/>
      <c r="J7" s="383"/>
      <c r="K7" s="411"/>
      <c r="L7" s="412"/>
      <c r="M7" s="413"/>
      <c r="N7" s="414"/>
      <c r="O7" s="414"/>
      <c r="P7" s="414"/>
      <c r="Q7" s="414"/>
      <c r="R7" s="414"/>
      <c r="S7" s="414">
        <v>1</v>
      </c>
      <c r="T7" s="415"/>
      <c r="U7" s="392"/>
      <c r="V7" s="392"/>
      <c r="W7" s="387"/>
    </row>
    <row r="8" spans="2:23" ht="25.5" customHeight="1" x14ac:dyDescent="0.2">
      <c r="B8" s="371" t="s">
        <v>285</v>
      </c>
      <c r="C8" s="380"/>
      <c r="D8" s="381"/>
      <c r="E8" s="381"/>
      <c r="F8" s="382"/>
      <c r="G8" s="383"/>
      <c r="H8" s="383"/>
      <c r="I8" s="384"/>
      <c r="J8" s="383"/>
      <c r="K8" s="411"/>
      <c r="L8" s="412"/>
      <c r="M8" s="413"/>
      <c r="N8" s="413"/>
      <c r="O8" s="413"/>
      <c r="P8" s="416"/>
      <c r="Q8" s="416"/>
      <c r="R8" s="416"/>
      <c r="S8" s="416"/>
      <c r="T8" s="416">
        <v>1</v>
      </c>
      <c r="U8" s="416"/>
      <c r="V8" s="416"/>
      <c r="W8" s="413"/>
    </row>
    <row r="9" spans="2:23" ht="30" customHeight="1" x14ac:dyDescent="0.2">
      <c r="B9" s="371" t="s">
        <v>286</v>
      </c>
      <c r="C9" s="380"/>
      <c r="D9" s="381"/>
      <c r="E9" s="381"/>
      <c r="F9" s="382"/>
      <c r="G9" s="383"/>
      <c r="H9" s="383"/>
      <c r="I9" s="384"/>
      <c r="J9" s="383"/>
      <c r="K9" s="411"/>
      <c r="L9" s="412"/>
      <c r="M9" s="417"/>
      <c r="N9" s="418"/>
      <c r="O9" s="414"/>
      <c r="P9" s="415"/>
      <c r="Q9" s="415"/>
      <c r="R9" s="415"/>
      <c r="S9" s="415">
        <v>1</v>
      </c>
      <c r="T9" s="416"/>
      <c r="U9" s="416"/>
      <c r="V9" s="416"/>
      <c r="W9" s="413"/>
    </row>
    <row r="10" spans="2:23" ht="27.75" customHeight="1" x14ac:dyDescent="0.2">
      <c r="B10" s="390" t="s">
        <v>314</v>
      </c>
      <c r="C10" s="380"/>
      <c r="D10" s="381"/>
      <c r="E10" s="381"/>
      <c r="F10" s="382"/>
      <c r="G10" s="383"/>
      <c r="H10" s="383"/>
      <c r="I10" s="384"/>
      <c r="J10" s="383"/>
      <c r="K10" s="411"/>
      <c r="L10" s="412"/>
      <c r="M10" s="393"/>
      <c r="N10" s="394"/>
      <c r="O10" s="414"/>
      <c r="P10" s="415"/>
      <c r="Q10" s="415"/>
      <c r="R10" s="415"/>
      <c r="S10" s="415"/>
      <c r="T10" s="416"/>
      <c r="U10" s="416">
        <v>1</v>
      </c>
      <c r="V10" s="416"/>
      <c r="W10" s="413"/>
    </row>
    <row r="11" spans="2:23" ht="20.25" customHeight="1" x14ac:dyDescent="0.2">
      <c r="B11" s="371" t="s">
        <v>303</v>
      </c>
      <c r="C11" s="380"/>
      <c r="D11" s="381"/>
      <c r="E11" s="381"/>
      <c r="F11" s="382"/>
      <c r="G11" s="383"/>
      <c r="H11" s="383"/>
      <c r="I11" s="384"/>
      <c r="J11" s="383"/>
      <c r="K11" s="411"/>
      <c r="L11" s="412"/>
      <c r="M11" s="393"/>
      <c r="N11" s="394"/>
      <c r="O11" s="414"/>
      <c r="P11" s="415"/>
      <c r="Q11" s="415"/>
      <c r="R11" s="415"/>
      <c r="S11" s="415"/>
      <c r="T11" s="416"/>
      <c r="U11" s="416">
        <v>1</v>
      </c>
      <c r="V11" s="416"/>
      <c r="W11" s="413"/>
    </row>
    <row r="12" spans="2:23" ht="26.25" customHeight="1" x14ac:dyDescent="0.2">
      <c r="B12" s="371" t="s">
        <v>287</v>
      </c>
      <c r="C12" s="380"/>
      <c r="D12" s="381"/>
      <c r="E12" s="381"/>
      <c r="F12" s="382"/>
      <c r="G12" s="383"/>
      <c r="H12" s="383"/>
      <c r="I12" s="384"/>
      <c r="J12" s="383"/>
      <c r="K12" s="411"/>
      <c r="L12" s="412"/>
      <c r="M12" s="393"/>
      <c r="N12" s="394"/>
      <c r="O12" s="414"/>
      <c r="P12" s="415"/>
      <c r="Q12" s="415"/>
      <c r="R12" s="415"/>
      <c r="S12" s="415"/>
      <c r="T12" s="416"/>
      <c r="U12" s="416">
        <v>1</v>
      </c>
      <c r="V12" s="416"/>
      <c r="W12" s="413"/>
    </row>
    <row r="13" spans="2:23" ht="26.25" customHeight="1" x14ac:dyDescent="0.2">
      <c r="B13" s="371" t="s">
        <v>288</v>
      </c>
      <c r="C13" s="380"/>
      <c r="D13" s="381"/>
      <c r="E13" s="381"/>
      <c r="F13" s="382"/>
      <c r="G13" s="383"/>
      <c r="H13" s="383"/>
      <c r="I13" s="384"/>
      <c r="J13" s="383"/>
      <c r="K13" s="411"/>
      <c r="L13" s="412"/>
      <c r="M13" s="393"/>
      <c r="N13" s="394"/>
      <c r="O13" s="414"/>
      <c r="P13" s="415"/>
      <c r="Q13" s="415"/>
      <c r="R13" s="415"/>
      <c r="S13" s="415"/>
      <c r="T13" s="416">
        <v>1</v>
      </c>
      <c r="U13" s="416"/>
      <c r="V13" s="416"/>
      <c r="W13" s="413"/>
    </row>
    <row r="14" spans="2:23" ht="26.25" customHeight="1" thickBot="1" x14ac:dyDescent="0.25">
      <c r="B14" s="371" t="s">
        <v>280</v>
      </c>
      <c r="C14" s="380"/>
      <c r="D14" s="381"/>
      <c r="E14" s="381"/>
      <c r="F14" s="382"/>
      <c r="G14" s="383"/>
      <c r="H14" s="383"/>
      <c r="I14" s="384"/>
      <c r="J14" s="383"/>
      <c r="K14" s="411"/>
      <c r="L14" s="412"/>
      <c r="M14" s="393"/>
      <c r="N14" s="394"/>
      <c r="O14" s="414"/>
      <c r="P14" s="415"/>
      <c r="Q14" s="415"/>
      <c r="R14" s="415"/>
      <c r="S14" s="415"/>
      <c r="T14" s="416"/>
      <c r="U14" s="416">
        <v>2</v>
      </c>
      <c r="V14" s="416"/>
      <c r="W14" s="413"/>
    </row>
    <row r="15" spans="2:23" ht="12.75" hidden="1" thickBot="1" x14ac:dyDescent="0.25">
      <c r="B15" s="332"/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  <c r="N15" s="332"/>
      <c r="O15" s="332"/>
      <c r="P15" s="332"/>
      <c r="Q15" s="332"/>
      <c r="R15" s="323"/>
      <c r="S15" s="333"/>
      <c r="T15" s="309"/>
      <c r="U15" s="309"/>
      <c r="V15" s="309"/>
      <c r="W15" s="310"/>
    </row>
    <row r="16" spans="2:23" ht="16.5" customHeight="1" thickBot="1" x14ac:dyDescent="0.25">
      <c r="B16" s="395" t="s">
        <v>279</v>
      </c>
      <c r="C16" s="396" t="s">
        <v>32</v>
      </c>
      <c r="D16" s="326">
        <f>SUM(D17:D29)</f>
        <v>0</v>
      </c>
      <c r="E16" s="326"/>
      <c r="F16" s="328">
        <f>SUM(F17:F29)</f>
        <v>0</v>
      </c>
      <c r="G16" s="328">
        <f>SUM(G17:G29)</f>
        <v>11.4</v>
      </c>
      <c r="H16" s="328">
        <f>SUM(H17:H29)</f>
        <v>32.799999999999997</v>
      </c>
      <c r="I16" s="328">
        <f>SUM(I17:I29)</f>
        <v>6</v>
      </c>
      <c r="J16" s="329">
        <f>SUM(J17:J29)</f>
        <v>32</v>
      </c>
      <c r="K16" s="330">
        <f>SUM(K18:K30)</f>
        <v>67</v>
      </c>
      <c r="L16" s="330" t="e">
        <f>L18+L19+#REF!+L23+L24+#REF!+#REF!+L27+L29+#REF!+#REF!+#REF!+L28</f>
        <v>#REF!</v>
      </c>
      <c r="M16" s="330">
        <f>SUM(M18:M39)</f>
        <v>21</v>
      </c>
      <c r="N16" s="330">
        <f>SUM(N18:N39)</f>
        <v>30</v>
      </c>
      <c r="O16" s="330">
        <f>SUM(O18:O38)</f>
        <v>4</v>
      </c>
      <c r="P16" s="330">
        <f t="shared" ref="P16:W16" si="1">SUM(P18:P39)</f>
        <v>0</v>
      </c>
      <c r="Q16" s="250">
        <f t="shared" si="1"/>
        <v>5</v>
      </c>
      <c r="R16" s="250">
        <f t="shared" si="1"/>
        <v>3</v>
      </c>
      <c r="S16" s="250">
        <f t="shared" si="1"/>
        <v>7</v>
      </c>
      <c r="T16" s="250">
        <f t="shared" si="1"/>
        <v>5</v>
      </c>
      <c r="U16" s="250">
        <f t="shared" si="1"/>
        <v>3</v>
      </c>
      <c r="V16" s="251">
        <f t="shared" si="1"/>
        <v>4</v>
      </c>
      <c r="W16" s="255">
        <f t="shared" si="1"/>
        <v>2</v>
      </c>
    </row>
    <row r="17" spans="2:23" hidden="1" x14ac:dyDescent="0.2">
      <c r="B17" s="334"/>
      <c r="C17" s="335"/>
      <c r="D17" s="336"/>
      <c r="E17" s="336"/>
      <c r="F17" s="337"/>
      <c r="G17" s="338">
        <v>11.4</v>
      </c>
      <c r="H17" s="338"/>
      <c r="I17" s="338">
        <v>6</v>
      </c>
      <c r="J17" s="339"/>
      <c r="K17" s="419"/>
      <c r="L17" s="420"/>
      <c r="M17" s="421"/>
      <c r="N17" s="422"/>
      <c r="P17" s="423"/>
      <c r="Q17" s="423"/>
      <c r="R17" s="424"/>
      <c r="S17" s="423"/>
      <c r="T17" s="423"/>
      <c r="U17" s="423"/>
      <c r="V17" s="423"/>
      <c r="W17" s="422"/>
    </row>
    <row r="18" spans="2:23" ht="24" x14ac:dyDescent="0.2">
      <c r="B18" s="390" t="s">
        <v>289</v>
      </c>
      <c r="C18" s="397"/>
      <c r="D18" s="249"/>
      <c r="E18" s="249"/>
      <c r="F18" s="398"/>
      <c r="G18" s="399"/>
      <c r="H18" s="399"/>
      <c r="I18" s="399"/>
      <c r="J18" s="400"/>
      <c r="K18" s="411">
        <v>4</v>
      </c>
      <c r="L18" s="425">
        <v>2</v>
      </c>
      <c r="M18" s="426"/>
      <c r="N18" s="427"/>
      <c r="O18" s="428"/>
      <c r="P18" s="429"/>
      <c r="Q18" s="429"/>
      <c r="R18" s="429"/>
      <c r="S18" s="430"/>
      <c r="T18" s="430">
        <v>1</v>
      </c>
      <c r="U18" s="430"/>
      <c r="V18" s="431"/>
      <c r="W18" s="412"/>
    </row>
    <row r="19" spans="2:23" ht="24" x14ac:dyDescent="0.2">
      <c r="B19" s="390" t="s">
        <v>290</v>
      </c>
      <c r="C19" s="397"/>
      <c r="D19" s="249"/>
      <c r="E19" s="249"/>
      <c r="F19" s="398"/>
      <c r="G19" s="399"/>
      <c r="H19" s="399"/>
      <c r="I19" s="399"/>
      <c r="J19" s="400"/>
      <c r="K19" s="411"/>
      <c r="L19" s="425"/>
      <c r="M19" s="426"/>
      <c r="N19" s="427"/>
      <c r="O19" s="428"/>
      <c r="P19" s="429"/>
      <c r="Q19" s="430"/>
      <c r="R19" s="429"/>
      <c r="S19" s="430">
        <v>1</v>
      </c>
      <c r="T19" s="430"/>
      <c r="U19" s="430"/>
      <c r="V19" s="431"/>
      <c r="W19" s="412"/>
    </row>
    <row r="20" spans="2:23" ht="16.5" customHeight="1" x14ac:dyDescent="0.2">
      <c r="B20" s="390" t="s">
        <v>312</v>
      </c>
      <c r="C20" s="397"/>
      <c r="D20" s="249"/>
      <c r="E20" s="249"/>
      <c r="F20" s="398"/>
      <c r="G20" s="399"/>
      <c r="H20" s="399"/>
      <c r="I20" s="399"/>
      <c r="J20" s="400"/>
      <c r="K20" s="411"/>
      <c r="L20" s="425"/>
      <c r="M20" s="426"/>
      <c r="N20" s="428"/>
      <c r="O20" s="428"/>
      <c r="P20" s="429"/>
      <c r="Q20" s="429"/>
      <c r="R20" s="429"/>
      <c r="S20" s="429"/>
      <c r="T20" s="430"/>
      <c r="U20" s="430"/>
      <c r="V20" s="431">
        <v>1</v>
      </c>
      <c r="W20" s="412"/>
    </row>
    <row r="21" spans="2:23" ht="24" x14ac:dyDescent="0.2">
      <c r="B21" s="390" t="s">
        <v>305</v>
      </c>
      <c r="C21" s="397"/>
      <c r="D21" s="249"/>
      <c r="E21" s="249"/>
      <c r="F21" s="398"/>
      <c r="G21" s="399"/>
      <c r="H21" s="399"/>
      <c r="I21" s="399"/>
      <c r="J21" s="400"/>
      <c r="K21" s="411"/>
      <c r="L21" s="425"/>
      <c r="M21" s="426"/>
      <c r="N21" s="428"/>
      <c r="O21" s="428"/>
      <c r="P21" s="429"/>
      <c r="Q21" s="429"/>
      <c r="R21" s="429"/>
      <c r="S21" s="429">
        <v>1</v>
      </c>
      <c r="T21" s="430"/>
      <c r="U21" s="430"/>
      <c r="V21" s="431"/>
      <c r="W21" s="412"/>
    </row>
    <row r="22" spans="2:23" ht="24" x14ac:dyDescent="0.2">
      <c r="B22" s="390" t="s">
        <v>306</v>
      </c>
      <c r="C22" s="397"/>
      <c r="D22" s="249"/>
      <c r="E22" s="249"/>
      <c r="F22" s="398"/>
      <c r="G22" s="399"/>
      <c r="H22" s="399"/>
      <c r="I22" s="399"/>
      <c r="J22" s="400"/>
      <c r="K22" s="411"/>
      <c r="L22" s="425"/>
      <c r="M22" s="426"/>
      <c r="N22" s="428"/>
      <c r="O22" s="428"/>
      <c r="P22" s="429"/>
      <c r="Q22" s="429"/>
      <c r="R22" s="429"/>
      <c r="S22" s="429"/>
      <c r="T22" s="430">
        <v>1</v>
      </c>
      <c r="U22" s="430"/>
      <c r="V22" s="431"/>
      <c r="W22" s="412"/>
    </row>
    <row r="23" spans="2:23" x14ac:dyDescent="0.2">
      <c r="B23" s="390" t="s">
        <v>291</v>
      </c>
      <c r="C23" s="376"/>
      <c r="D23" s="376"/>
      <c r="E23" s="376"/>
      <c r="F23" s="384"/>
      <c r="G23" s="384"/>
      <c r="H23" s="384"/>
      <c r="I23" s="384"/>
      <c r="J23" s="385"/>
      <c r="K23" s="432"/>
      <c r="L23" s="432">
        <v>115</v>
      </c>
      <c r="M23" s="428"/>
      <c r="N23" s="428"/>
      <c r="O23" s="428"/>
      <c r="P23" s="429"/>
      <c r="Q23" s="429"/>
      <c r="R23" s="429">
        <v>1</v>
      </c>
      <c r="S23" s="429"/>
      <c r="T23" s="430"/>
      <c r="U23" s="430"/>
      <c r="V23" s="431"/>
      <c r="W23" s="412"/>
    </row>
    <row r="24" spans="2:23" x14ac:dyDescent="0.2">
      <c r="B24" s="390" t="s">
        <v>292</v>
      </c>
      <c r="C24" s="433"/>
      <c r="D24" s="376"/>
      <c r="E24" s="376"/>
      <c r="F24" s="384"/>
      <c r="G24" s="384"/>
      <c r="H24" s="384"/>
      <c r="I24" s="384"/>
      <c r="J24" s="401"/>
      <c r="K24" s="432"/>
      <c r="L24" s="434">
        <v>2</v>
      </c>
      <c r="M24" s="428"/>
      <c r="N24" s="428"/>
      <c r="O24" s="428"/>
      <c r="P24" s="429"/>
      <c r="Q24" s="429"/>
      <c r="R24" s="429"/>
      <c r="S24" s="429">
        <v>1</v>
      </c>
      <c r="T24" s="430"/>
      <c r="U24" s="430"/>
      <c r="V24" s="431"/>
      <c r="W24" s="412"/>
    </row>
    <row r="25" spans="2:23" x14ac:dyDescent="0.2">
      <c r="B25" s="390" t="s">
        <v>293</v>
      </c>
      <c r="C25" s="433"/>
      <c r="D25" s="376"/>
      <c r="E25" s="376"/>
      <c r="F25" s="384"/>
      <c r="G25" s="384"/>
      <c r="H25" s="384"/>
      <c r="I25" s="384"/>
      <c r="J25" s="401"/>
      <c r="K25" s="432"/>
      <c r="L25" s="434">
        <v>2</v>
      </c>
      <c r="M25" s="428"/>
      <c r="N25" s="428"/>
      <c r="O25" s="428"/>
      <c r="P25" s="429"/>
      <c r="Q25" s="429"/>
      <c r="R25" s="429"/>
      <c r="S25" s="429"/>
      <c r="T25" s="430"/>
      <c r="U25" s="430">
        <v>1</v>
      </c>
      <c r="V25" s="431"/>
      <c r="W25" s="412"/>
    </row>
    <row r="26" spans="2:23" x14ac:dyDescent="0.2">
      <c r="B26" s="390" t="s">
        <v>294</v>
      </c>
      <c r="C26" s="249"/>
      <c r="D26" s="249"/>
      <c r="E26" s="249"/>
      <c r="F26" s="399"/>
      <c r="G26" s="399"/>
      <c r="H26" s="399">
        <v>32.799999999999997</v>
      </c>
      <c r="I26" s="399"/>
      <c r="J26" s="400">
        <v>32</v>
      </c>
      <c r="K26" s="432"/>
      <c r="L26" s="434"/>
      <c r="M26" s="428"/>
      <c r="N26" s="428"/>
      <c r="O26" s="428"/>
      <c r="P26" s="429"/>
      <c r="Q26" s="429"/>
      <c r="R26" s="429">
        <v>1</v>
      </c>
      <c r="S26" s="429">
        <v>1</v>
      </c>
      <c r="T26" s="430"/>
      <c r="U26" s="430"/>
      <c r="V26" s="431"/>
      <c r="W26" s="412"/>
    </row>
    <row r="27" spans="2:23" ht="14.25" customHeight="1" x14ac:dyDescent="0.2">
      <c r="B27" s="390" t="s">
        <v>295</v>
      </c>
      <c r="C27" s="249"/>
      <c r="D27" s="249"/>
      <c r="E27" s="249"/>
      <c r="F27" s="399"/>
      <c r="G27" s="399"/>
      <c r="H27" s="399"/>
      <c r="I27" s="399"/>
      <c r="J27" s="400"/>
      <c r="K27" s="432"/>
      <c r="L27" s="434"/>
      <c r="M27" s="428">
        <v>2</v>
      </c>
      <c r="N27" s="428">
        <v>7</v>
      </c>
      <c r="O27" s="428">
        <v>4</v>
      </c>
      <c r="P27" s="429"/>
      <c r="Q27" s="429"/>
      <c r="R27" s="429"/>
      <c r="S27" s="429"/>
      <c r="T27" s="430"/>
      <c r="U27" s="430"/>
      <c r="V27" s="431">
        <v>1</v>
      </c>
      <c r="W27" s="412"/>
    </row>
    <row r="28" spans="2:23" x14ac:dyDescent="0.2">
      <c r="B28" s="390" t="s">
        <v>307</v>
      </c>
      <c r="C28" s="249"/>
      <c r="D28" s="249"/>
      <c r="E28" s="249"/>
      <c r="F28" s="399"/>
      <c r="G28" s="399"/>
      <c r="H28" s="399"/>
      <c r="I28" s="399"/>
      <c r="J28" s="400"/>
      <c r="K28" s="432">
        <v>63</v>
      </c>
      <c r="L28" s="434">
        <v>54</v>
      </c>
      <c r="M28" s="428"/>
      <c r="N28" s="428"/>
      <c r="O28" s="428"/>
      <c r="P28" s="429"/>
      <c r="Q28" s="429"/>
      <c r="R28" s="429"/>
      <c r="S28" s="429"/>
      <c r="T28" s="430"/>
      <c r="U28" s="430"/>
      <c r="V28" s="431"/>
      <c r="W28" s="412">
        <v>1</v>
      </c>
    </row>
    <row r="29" spans="2:23" ht="24" x14ac:dyDescent="0.2">
      <c r="B29" s="390" t="s">
        <v>308</v>
      </c>
      <c r="C29" s="249"/>
      <c r="D29" s="249"/>
      <c r="E29" s="249"/>
      <c r="F29" s="399"/>
      <c r="G29" s="399"/>
      <c r="H29" s="399"/>
      <c r="I29" s="399"/>
      <c r="J29" s="400"/>
      <c r="K29" s="435"/>
      <c r="L29" s="436"/>
      <c r="M29" s="437">
        <v>15</v>
      </c>
      <c r="N29" s="428"/>
      <c r="O29" s="428"/>
      <c r="P29" s="429"/>
      <c r="Q29" s="429">
        <v>1</v>
      </c>
      <c r="R29" s="429"/>
      <c r="S29" s="429">
        <v>2</v>
      </c>
      <c r="T29" s="430"/>
      <c r="U29" s="430"/>
      <c r="V29" s="431"/>
      <c r="W29" s="412"/>
    </row>
    <row r="30" spans="2:23" x14ac:dyDescent="0.2">
      <c r="B30" s="390" t="s">
        <v>309</v>
      </c>
      <c r="C30" s="249"/>
      <c r="D30" s="249"/>
      <c r="E30" s="249"/>
      <c r="F30" s="399"/>
      <c r="G30" s="399"/>
      <c r="H30" s="399"/>
      <c r="I30" s="399"/>
      <c r="J30" s="400"/>
      <c r="K30" s="435"/>
      <c r="L30" s="436"/>
      <c r="M30" s="437"/>
      <c r="N30" s="428"/>
      <c r="O30" s="428"/>
      <c r="P30" s="429"/>
      <c r="Q30" s="429"/>
      <c r="R30" s="429"/>
      <c r="S30" s="429"/>
      <c r="T30" s="430">
        <v>1</v>
      </c>
      <c r="U30" s="430"/>
      <c r="V30" s="431"/>
      <c r="W30" s="412"/>
    </row>
    <row r="31" spans="2:23" x14ac:dyDescent="0.2">
      <c r="B31" s="390" t="s">
        <v>296</v>
      </c>
      <c r="C31" s="249"/>
      <c r="D31" s="249"/>
      <c r="E31" s="249"/>
      <c r="F31" s="399"/>
      <c r="G31" s="399"/>
      <c r="H31" s="399"/>
      <c r="I31" s="399"/>
      <c r="J31" s="407"/>
      <c r="K31" s="435"/>
      <c r="L31" s="435"/>
      <c r="M31" s="435"/>
      <c r="N31" s="428"/>
      <c r="O31" s="428"/>
      <c r="P31" s="429"/>
      <c r="Q31" s="429"/>
      <c r="R31" s="429"/>
      <c r="S31" s="429">
        <v>1</v>
      </c>
      <c r="T31" s="430"/>
      <c r="U31" s="430"/>
      <c r="V31" s="431"/>
      <c r="W31" s="412"/>
    </row>
    <row r="32" spans="2:23" x14ac:dyDescent="0.2">
      <c r="B32" s="390" t="s">
        <v>297</v>
      </c>
      <c r="C32" s="249"/>
      <c r="D32" s="249"/>
      <c r="E32" s="249"/>
      <c r="F32" s="399"/>
      <c r="G32" s="399"/>
      <c r="H32" s="399"/>
      <c r="I32" s="399"/>
      <c r="J32" s="407"/>
      <c r="K32" s="435"/>
      <c r="L32" s="435"/>
      <c r="M32" s="435"/>
      <c r="N32" s="428"/>
      <c r="O32" s="428"/>
      <c r="P32" s="429"/>
      <c r="Q32" s="429"/>
      <c r="R32" s="429"/>
      <c r="S32" s="429"/>
      <c r="T32" s="430">
        <v>1</v>
      </c>
      <c r="U32" s="430"/>
      <c r="V32" s="431"/>
      <c r="W32" s="412"/>
    </row>
    <row r="33" spans="2:23" x14ac:dyDescent="0.2">
      <c r="B33" s="390" t="s">
        <v>310</v>
      </c>
      <c r="C33" s="376"/>
      <c r="D33" s="376"/>
      <c r="E33" s="376"/>
      <c r="F33" s="384"/>
      <c r="G33" s="384"/>
      <c r="H33" s="384"/>
      <c r="I33" s="384"/>
      <c r="J33" s="385"/>
      <c r="K33" s="432"/>
      <c r="L33" s="432"/>
      <c r="M33" s="427"/>
      <c r="N33" s="428"/>
      <c r="O33" s="428"/>
      <c r="P33" s="429"/>
      <c r="Q33" s="429"/>
      <c r="R33" s="429"/>
      <c r="S33" s="429"/>
      <c r="T33" s="430"/>
      <c r="U33" s="430">
        <v>1</v>
      </c>
      <c r="V33" s="431"/>
      <c r="W33" s="412"/>
    </row>
    <row r="34" spans="2:23" x14ac:dyDescent="0.2">
      <c r="B34" s="390" t="s">
        <v>311</v>
      </c>
      <c r="C34" s="249"/>
      <c r="D34" s="249"/>
      <c r="E34" s="249"/>
      <c r="F34" s="399"/>
      <c r="G34" s="399"/>
      <c r="H34" s="399"/>
      <c r="I34" s="399"/>
      <c r="J34" s="407"/>
      <c r="K34" s="435"/>
      <c r="L34" s="435"/>
      <c r="M34" s="438"/>
      <c r="N34" s="428"/>
      <c r="O34" s="428"/>
      <c r="P34" s="429"/>
      <c r="Q34" s="429">
        <v>1</v>
      </c>
      <c r="R34" s="429"/>
      <c r="S34" s="429"/>
      <c r="T34" s="430"/>
      <c r="U34" s="430"/>
      <c r="V34" s="431">
        <v>1</v>
      </c>
      <c r="W34" s="412"/>
    </row>
    <row r="35" spans="2:23" ht="15" customHeight="1" x14ac:dyDescent="0.2">
      <c r="B35" s="390" t="s">
        <v>298</v>
      </c>
      <c r="C35" s="249"/>
      <c r="D35" s="249"/>
      <c r="E35" s="249"/>
      <c r="F35" s="399"/>
      <c r="G35" s="399"/>
      <c r="H35" s="399"/>
      <c r="I35" s="399"/>
      <c r="J35" s="407"/>
      <c r="K35" s="435"/>
      <c r="L35" s="435"/>
      <c r="M35" s="438"/>
      <c r="N35" s="428"/>
      <c r="O35" s="428"/>
      <c r="P35" s="429"/>
      <c r="Q35" s="429"/>
      <c r="R35" s="429"/>
      <c r="S35" s="429"/>
      <c r="T35" s="430">
        <v>1</v>
      </c>
      <c r="U35" s="430"/>
      <c r="V35" s="431"/>
      <c r="W35" s="412"/>
    </row>
    <row r="36" spans="2:23" ht="24" x14ac:dyDescent="0.2">
      <c r="B36" s="390" t="s">
        <v>313</v>
      </c>
      <c r="C36" s="249"/>
      <c r="D36" s="249"/>
      <c r="E36" s="249"/>
      <c r="F36" s="399"/>
      <c r="G36" s="399"/>
      <c r="H36" s="399"/>
      <c r="I36" s="399"/>
      <c r="J36" s="407"/>
      <c r="K36" s="435"/>
      <c r="L36" s="435"/>
      <c r="M36" s="438"/>
      <c r="N36" s="428"/>
      <c r="O36" s="428"/>
      <c r="P36" s="429"/>
      <c r="Q36" s="429">
        <v>2</v>
      </c>
      <c r="R36" s="429"/>
      <c r="S36" s="429"/>
      <c r="T36" s="430"/>
      <c r="U36" s="430">
        <v>1</v>
      </c>
      <c r="V36" s="431"/>
      <c r="W36" s="412"/>
    </row>
    <row r="37" spans="2:23" ht="14.25" customHeight="1" x14ac:dyDescent="0.2">
      <c r="B37" s="390" t="s">
        <v>299</v>
      </c>
      <c r="C37" s="249"/>
      <c r="D37" s="249"/>
      <c r="E37" s="249"/>
      <c r="F37" s="399"/>
      <c r="G37" s="399"/>
      <c r="H37" s="399"/>
      <c r="I37" s="399"/>
      <c r="J37" s="407"/>
      <c r="K37" s="435"/>
      <c r="L37" s="435"/>
      <c r="M37" s="438"/>
      <c r="N37" s="428"/>
      <c r="O37" s="428"/>
      <c r="P37" s="429"/>
      <c r="Q37" s="429"/>
      <c r="R37" s="429">
        <v>1</v>
      </c>
      <c r="S37" s="429"/>
      <c r="T37" s="430"/>
      <c r="U37" s="430"/>
      <c r="V37" s="431"/>
      <c r="W37" s="412"/>
    </row>
    <row r="38" spans="2:23" ht="21.75" customHeight="1" x14ac:dyDescent="0.2">
      <c r="B38" s="390" t="s">
        <v>300</v>
      </c>
      <c r="C38" s="249"/>
      <c r="D38" s="249"/>
      <c r="E38" s="249"/>
      <c r="F38" s="399"/>
      <c r="G38" s="399"/>
      <c r="H38" s="399"/>
      <c r="I38" s="399"/>
      <c r="J38" s="407"/>
      <c r="K38" s="435"/>
      <c r="L38" s="435"/>
      <c r="M38" s="438"/>
      <c r="N38" s="428">
        <v>23</v>
      </c>
      <c r="O38" s="428"/>
      <c r="P38" s="429"/>
      <c r="Q38" s="429">
        <v>1</v>
      </c>
      <c r="R38" s="429"/>
      <c r="S38" s="429"/>
      <c r="T38" s="430"/>
      <c r="U38" s="430"/>
      <c r="V38" s="431"/>
      <c r="W38" s="412">
        <v>1</v>
      </c>
    </row>
    <row r="39" spans="2:23" ht="24.75" thickBot="1" x14ac:dyDescent="0.25">
      <c r="B39" s="410" t="s">
        <v>301</v>
      </c>
      <c r="C39" s="249"/>
      <c r="D39" s="249"/>
      <c r="E39" s="249"/>
      <c r="F39" s="399"/>
      <c r="G39" s="399"/>
      <c r="H39" s="399"/>
      <c r="I39" s="399"/>
      <c r="J39" s="407"/>
      <c r="K39" s="435"/>
      <c r="L39" s="435">
        <v>4</v>
      </c>
      <c r="M39" s="438">
        <v>4</v>
      </c>
      <c r="N39" s="438"/>
      <c r="O39" s="437"/>
      <c r="P39" s="439"/>
      <c r="Q39" s="440"/>
      <c r="R39" s="439"/>
      <c r="S39" s="440"/>
      <c r="T39" s="430"/>
      <c r="U39" s="430"/>
      <c r="V39" s="431">
        <v>1</v>
      </c>
      <c r="W39" s="412"/>
    </row>
    <row r="40" spans="2:23" ht="18" customHeight="1" thickBot="1" x14ac:dyDescent="0.25">
      <c r="B40" s="313" t="s">
        <v>302</v>
      </c>
      <c r="C40" s="314"/>
      <c r="D40" s="315" t="e">
        <f>D6+D16+#REF!</f>
        <v>#REF!</v>
      </c>
      <c r="E40" s="315" t="e">
        <f>E6+E16+#REF!</f>
        <v>#REF!</v>
      </c>
      <c r="F40" s="315" t="e">
        <f>F6+F16+#REF!</f>
        <v>#REF!</v>
      </c>
      <c r="G40" s="315" t="e">
        <f>G6+G16+#REF!</f>
        <v>#REF!</v>
      </c>
      <c r="H40" s="315" t="e">
        <f>H6+H16+#REF!</f>
        <v>#REF!</v>
      </c>
      <c r="I40" s="315" t="e">
        <f>I6+I16+#REF!</f>
        <v>#REF!</v>
      </c>
      <c r="J40" s="316" t="e">
        <f>J6+J16+#REF!</f>
        <v>#REF!</v>
      </c>
      <c r="K40" s="317" t="e">
        <f>K6+K16+#REF!+#REF!</f>
        <v>#REF!</v>
      </c>
      <c r="L40" s="317" t="e">
        <f>L6+L16+#REF!+#REF!</f>
        <v>#REF!</v>
      </c>
      <c r="M40" s="317" t="e">
        <f>M6+M16+#REF!</f>
        <v>#REF!</v>
      </c>
      <c r="N40" s="317">
        <f t="shared" ref="N40:W40" si="2">N6+N16</f>
        <v>30</v>
      </c>
      <c r="O40" s="317">
        <f t="shared" si="2"/>
        <v>4</v>
      </c>
      <c r="P40" s="317">
        <f t="shared" si="2"/>
        <v>0</v>
      </c>
      <c r="Q40" s="318">
        <f t="shared" si="2"/>
        <v>5</v>
      </c>
      <c r="R40" s="318">
        <f t="shared" si="2"/>
        <v>3</v>
      </c>
      <c r="S40" s="318">
        <f t="shared" si="2"/>
        <v>9</v>
      </c>
      <c r="T40" s="319">
        <f t="shared" si="2"/>
        <v>7</v>
      </c>
      <c r="U40" s="319">
        <f t="shared" si="2"/>
        <v>8</v>
      </c>
      <c r="V40" s="319">
        <f t="shared" si="2"/>
        <v>4</v>
      </c>
      <c r="W40" s="320">
        <f t="shared" si="2"/>
        <v>2</v>
      </c>
    </row>
    <row r="42" spans="2:23" x14ac:dyDescent="0.2">
      <c r="B42" s="321"/>
    </row>
    <row r="43" spans="2:23" x14ac:dyDescent="0.2">
      <c r="B43" s="3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ПРОГНОЗ</vt:lpstr>
      <vt:lpstr>Дефлятор базовый</vt:lpstr>
      <vt:lpstr>Дефлятор консервативный</vt:lpstr>
      <vt:lpstr>Ввод новых ОФ</vt:lpstr>
      <vt:lpstr>Сроки ввода</vt:lpstr>
      <vt:lpstr>ПРОГНОЗ!Заголовки_для_печати</vt:lpstr>
      <vt:lpstr>ПРОГНОЗ!Область_печати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министра экономического развития и КП</dc:creator>
  <cp:lastModifiedBy>Школа 92</cp:lastModifiedBy>
  <cp:lastPrinted>2025-06-19T11:33:57Z</cp:lastPrinted>
  <dcterms:created xsi:type="dcterms:W3CDTF">2001-06-14T10:07:03Z</dcterms:created>
  <dcterms:modified xsi:type="dcterms:W3CDTF">2025-07-01T09:42:31Z</dcterms:modified>
</cp:coreProperties>
</file>